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.kontogiorgis\Downloads\"/>
    </mc:Choice>
  </mc:AlternateContent>
  <xr:revisionPtr revIDLastSave="0" documentId="13_ncr:1_{0A26B259-60F4-4CCD-A606-4DA3615DD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exports_31_08_2022" localSheetId="0">Sheet1!$A$1:$E$1454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2" i="1" l="1"/>
  <c r="D887" i="1"/>
  <c r="D1144" i="1"/>
  <c r="D964" i="1"/>
  <c r="D1130" i="1"/>
  <c r="D836" i="1"/>
  <c r="D837" i="1"/>
  <c r="D675" i="1"/>
  <c r="D1077" i="1"/>
  <c r="D428" i="1"/>
  <c r="D676" i="1"/>
  <c r="D1182" i="1"/>
  <c r="D429" i="1"/>
  <c r="D281" i="1"/>
  <c r="D838" i="1"/>
  <c r="D839" i="1"/>
  <c r="D241" i="1"/>
  <c r="D242" i="1"/>
  <c r="D243" i="1"/>
  <c r="D1145" i="1"/>
  <c r="D1091" i="1"/>
  <c r="D2" i="1"/>
  <c r="D107" i="1"/>
  <c r="D108" i="1"/>
  <c r="D840" i="1"/>
  <c r="D430" i="1"/>
  <c r="D27" i="1"/>
  <c r="D431" i="1"/>
  <c r="D432" i="1"/>
  <c r="D433" i="1"/>
  <c r="D434" i="1"/>
  <c r="D435" i="1"/>
  <c r="D436" i="1"/>
  <c r="D437" i="1"/>
  <c r="D438" i="1"/>
  <c r="D244" i="1"/>
  <c r="D439" i="1"/>
  <c r="D440" i="1"/>
  <c r="D441" i="1"/>
  <c r="D442" i="1"/>
  <c r="D443" i="1"/>
  <c r="D444" i="1"/>
  <c r="D28" i="1"/>
  <c r="D841" i="1"/>
  <c r="D445" i="1"/>
  <c r="D1349" i="1"/>
  <c r="D446" i="1"/>
  <c r="D1199" i="1"/>
  <c r="D1200" i="1"/>
  <c r="D29" i="1"/>
  <c r="D447" i="1"/>
  <c r="D448" i="1"/>
  <c r="D245" i="1"/>
  <c r="D30" i="1"/>
  <c r="D246" i="1"/>
  <c r="D449" i="1"/>
  <c r="D1343" i="1"/>
  <c r="D1131" i="1"/>
  <c r="D1344" i="1"/>
  <c r="D450" i="1"/>
  <c r="D247" i="1"/>
  <c r="D248" i="1"/>
  <c r="D3" i="1"/>
  <c r="D31" i="1"/>
  <c r="D451" i="1"/>
  <c r="D32" i="1"/>
  <c r="D778" i="1"/>
  <c r="D1350" i="1"/>
  <c r="D1351" i="1"/>
  <c r="D940" i="1"/>
  <c r="D33" i="1"/>
  <c r="D1146" i="1"/>
  <c r="D1147" i="1"/>
  <c r="D1148" i="1"/>
  <c r="D452" i="1"/>
  <c r="D1149" i="1"/>
  <c r="D584" i="1"/>
  <c r="D453" i="1"/>
  <c r="D367" i="1"/>
  <c r="D454" i="1"/>
  <c r="D1150" i="1"/>
  <c r="D34" i="1"/>
  <c r="D35" i="1"/>
  <c r="D36" i="1"/>
  <c r="D325" i="1"/>
  <c r="D336" i="1"/>
  <c r="D455" i="1"/>
  <c r="D659" i="1"/>
  <c r="D86" i="1"/>
  <c r="D37" i="1"/>
  <c r="D288" i="1"/>
  <c r="D740" i="1"/>
  <c r="D742" i="1"/>
  <c r="D1049" i="1"/>
  <c r="D456" i="1"/>
  <c r="D1151" i="1"/>
  <c r="D1337" i="1"/>
  <c r="D779" i="1"/>
  <c r="D457" i="1"/>
  <c r="D337" i="1"/>
  <c r="D780" i="1"/>
  <c r="D1212" i="1"/>
  <c r="D1213" i="1"/>
  <c r="D1055" i="1"/>
  <c r="D781" i="1"/>
  <c r="D888" i="1"/>
  <c r="D660" i="1"/>
  <c r="D338" i="1"/>
  <c r="D87" i="1"/>
  <c r="D1152" i="1"/>
  <c r="D368" i="1"/>
  <c r="D369" i="1"/>
  <c r="D339" i="1"/>
  <c r="D370" i="1"/>
  <c r="D396" i="1"/>
  <c r="D1038" i="1"/>
  <c r="D677" i="1"/>
  <c r="D889" i="1"/>
  <c r="D842" i="1"/>
  <c r="D843" i="1"/>
  <c r="D4" i="1"/>
  <c r="D271" i="1"/>
  <c r="D1039" i="1"/>
  <c r="D1102" i="1"/>
  <c r="D844" i="1"/>
  <c r="D458" i="1"/>
  <c r="D38" i="1"/>
  <c r="D585" i="1"/>
  <c r="D425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678" i="1"/>
  <c r="D845" i="1"/>
  <c r="D846" i="1"/>
  <c r="D847" i="1"/>
  <c r="D1402" i="1"/>
  <c r="D88" i="1"/>
  <c r="D5" i="1"/>
  <c r="D1352" i="1"/>
  <c r="D848" i="1"/>
  <c r="D1353" i="1"/>
  <c r="D849" i="1"/>
  <c r="D850" i="1"/>
  <c r="D851" i="1"/>
  <c r="D852" i="1"/>
  <c r="D853" i="1"/>
  <c r="D854" i="1"/>
  <c r="D855" i="1"/>
  <c r="D459" i="1"/>
  <c r="D460" i="1"/>
  <c r="D461" i="1"/>
  <c r="D462" i="1"/>
  <c r="D39" i="1"/>
  <c r="D856" i="1"/>
  <c r="D463" i="1"/>
  <c r="D464" i="1"/>
  <c r="D89" i="1"/>
  <c r="D872" i="1"/>
  <c r="D679" i="1"/>
  <c r="D586" i="1"/>
  <c r="D465" i="1"/>
  <c r="D466" i="1"/>
  <c r="D467" i="1"/>
  <c r="D468" i="1"/>
  <c r="D680" i="1"/>
  <c r="D681" i="1"/>
  <c r="D682" i="1"/>
  <c r="D683" i="1"/>
  <c r="D684" i="1"/>
  <c r="D587" i="1"/>
  <c r="D588" i="1"/>
  <c r="D685" i="1"/>
  <c r="D1223" i="1"/>
  <c r="D317" i="1"/>
  <c r="D1224" i="1"/>
  <c r="D686" i="1"/>
  <c r="D289" i="1"/>
  <c r="D90" i="1"/>
  <c r="D91" i="1"/>
  <c r="D977" i="1"/>
  <c r="D290" i="1"/>
  <c r="D1132" i="1"/>
  <c r="D743" i="1"/>
  <c r="D92" i="1"/>
  <c r="D1040" i="1"/>
  <c r="D291" i="1"/>
  <c r="D1125" i="1"/>
  <c r="D326" i="1"/>
  <c r="D1418" i="1"/>
  <c r="D890" i="1"/>
  <c r="D1291" i="1"/>
  <c r="D1073" i="1"/>
  <c r="D1354" i="1"/>
  <c r="D1183" i="1"/>
  <c r="D974" i="1"/>
  <c r="D14" i="1"/>
  <c r="D15" i="1"/>
  <c r="D1003" i="1"/>
  <c r="D1004" i="1"/>
  <c r="D470" i="1"/>
  <c r="D1103" i="1"/>
  <c r="D857" i="1"/>
  <c r="D471" i="1"/>
  <c r="D1153" i="1"/>
  <c r="D472" i="1"/>
  <c r="D744" i="1"/>
  <c r="D858" i="1"/>
  <c r="D473" i="1"/>
  <c r="D469" i="1"/>
  <c r="D474" i="1"/>
  <c r="D1355" i="1"/>
  <c r="D1356" i="1"/>
  <c r="D475" i="1"/>
  <c r="D978" i="1"/>
  <c r="D1005" i="1"/>
  <c r="D476" i="1"/>
  <c r="D477" i="1"/>
  <c r="D40" i="1"/>
  <c r="D931" i="1"/>
  <c r="D478" i="1"/>
  <c r="D1092" i="1"/>
  <c r="D41" i="1"/>
  <c r="D1104" i="1"/>
  <c r="D1105" i="1"/>
  <c r="D1106" i="1"/>
  <c r="D479" i="1"/>
  <c r="D1078" i="1"/>
  <c r="D42" i="1"/>
  <c r="D859" i="1"/>
  <c r="D979" i="1"/>
  <c r="D1093" i="1"/>
  <c r="D371" i="1"/>
  <c r="D316" i="1"/>
  <c r="D306" i="1"/>
  <c r="D397" i="1"/>
  <c r="D398" i="1"/>
  <c r="D93" i="1"/>
  <c r="D1319" i="1"/>
  <c r="D1107" i="1"/>
  <c r="D480" i="1"/>
  <c r="D1357" i="1"/>
  <c r="D947" i="1"/>
  <c r="D873" i="1"/>
  <c r="D340" i="1"/>
  <c r="D703" i="1"/>
  <c r="D1310" i="1"/>
  <c r="D1311" i="1"/>
  <c r="D1312" i="1"/>
  <c r="D1313" i="1"/>
  <c r="D1314" i="1"/>
  <c r="D1315" i="1"/>
  <c r="D1201" i="1"/>
  <c r="D249" i="1"/>
  <c r="D43" i="1"/>
  <c r="D801" i="1"/>
  <c r="D697" i="1"/>
  <c r="D250" i="1"/>
  <c r="D948" i="1"/>
  <c r="D980" i="1"/>
  <c r="D981" i="1"/>
  <c r="D1041" i="1"/>
  <c r="D1184" i="1"/>
  <c r="D1185" i="1"/>
  <c r="D1186" i="1"/>
  <c r="D704" i="1"/>
  <c r="D705" i="1"/>
  <c r="D706" i="1"/>
  <c r="D707" i="1"/>
  <c r="D481" i="1"/>
  <c r="D1419" i="1"/>
  <c r="D1420" i="1"/>
  <c r="D1421" i="1"/>
  <c r="D1422" i="1"/>
  <c r="D1423" i="1"/>
  <c r="D358" i="1"/>
  <c r="D1074" i="1"/>
  <c r="D860" i="1"/>
  <c r="D231" i="1"/>
  <c r="D891" i="1"/>
  <c r="D912" i="1"/>
  <c r="D982" i="1"/>
  <c r="D949" i="1"/>
  <c r="D482" i="1"/>
  <c r="D1320" i="1"/>
  <c r="D782" i="1"/>
  <c r="D1154" i="1"/>
  <c r="D399" i="1"/>
  <c r="D483" i="1"/>
  <c r="D1127" i="1"/>
  <c r="D484" i="1"/>
  <c r="D6" i="1"/>
  <c r="D1108" i="1"/>
  <c r="D1006" i="1"/>
  <c r="D1007" i="1"/>
  <c r="D1109" i="1"/>
  <c r="D1335" i="1"/>
  <c r="D1231" i="1"/>
  <c r="D1232" i="1"/>
  <c r="D861" i="1"/>
  <c r="D16" i="1"/>
  <c r="D650" i="1"/>
  <c r="D651" i="1"/>
  <c r="D589" i="1"/>
  <c r="D802" i="1"/>
  <c r="D803" i="1"/>
  <c r="D1424" i="1"/>
  <c r="D804" i="1"/>
  <c r="D1358" i="1"/>
  <c r="D1445" i="1"/>
  <c r="D805" i="1"/>
  <c r="D806" i="1"/>
  <c r="D783" i="1"/>
  <c r="D1446" i="1"/>
  <c r="D930" i="1"/>
  <c r="D251" i="1"/>
  <c r="D807" i="1"/>
  <c r="D808" i="1"/>
  <c r="D809" i="1"/>
  <c r="D810" i="1"/>
  <c r="D811" i="1"/>
  <c r="D892" i="1"/>
  <c r="D812" i="1"/>
  <c r="D941" i="1"/>
  <c r="D252" i="1"/>
  <c r="D44" i="1"/>
  <c r="D745" i="1"/>
  <c r="D813" i="1"/>
  <c r="D1042" i="1"/>
  <c r="D17" i="1"/>
  <c r="D18" i="1"/>
  <c r="D19" i="1"/>
  <c r="D20" i="1"/>
  <c r="D1430" i="1"/>
  <c r="D746" i="1"/>
  <c r="D611" i="1"/>
  <c r="D1155" i="1"/>
  <c r="D612" i="1"/>
  <c r="D613" i="1"/>
  <c r="D327" i="1"/>
  <c r="D1156" i="1"/>
  <c r="D1157" i="1"/>
  <c r="D1225" i="1"/>
  <c r="D1359" i="1"/>
  <c r="D1431" i="1"/>
  <c r="D485" i="1"/>
  <c r="D486" i="1"/>
  <c r="D487" i="1"/>
  <c r="D94" i="1"/>
  <c r="D814" i="1"/>
  <c r="D965" i="1"/>
  <c r="D95" i="1"/>
  <c r="D309" i="1"/>
  <c r="D1432" i="1"/>
  <c r="D1433" i="1"/>
  <c r="D488" i="1"/>
  <c r="D489" i="1"/>
  <c r="D490" i="1"/>
  <c r="D21" i="1"/>
  <c r="D22" i="1"/>
  <c r="D23" i="1"/>
  <c r="D24" i="1"/>
  <c r="D614" i="1"/>
  <c r="D615" i="1"/>
  <c r="D616" i="1"/>
  <c r="D617" i="1"/>
  <c r="D1158" i="1"/>
  <c r="D1051" i="1"/>
  <c r="D1094" i="1"/>
  <c r="D1110" i="1"/>
  <c r="D1008" i="1"/>
  <c r="D784" i="1"/>
  <c r="D1052" i="1"/>
  <c r="D1095" i="1"/>
  <c r="D1403" i="1"/>
  <c r="D45" i="1"/>
  <c r="D1360" i="1"/>
  <c r="D1159" i="1"/>
  <c r="D96" i="1"/>
  <c r="D318" i="1"/>
  <c r="D618" i="1"/>
  <c r="D747" i="1"/>
  <c r="D815" i="1"/>
  <c r="D1226" i="1"/>
  <c r="D619" i="1"/>
  <c r="D1361" i="1"/>
  <c r="D862" i="1"/>
  <c r="D1362" i="1"/>
  <c r="D748" i="1"/>
  <c r="D620" i="1"/>
  <c r="D621" i="1"/>
  <c r="D622" i="1"/>
  <c r="D1227" i="1"/>
  <c r="D785" i="1"/>
  <c r="D623" i="1"/>
  <c r="D816" i="1"/>
  <c r="D491" i="1"/>
  <c r="D492" i="1"/>
  <c r="D493" i="1"/>
  <c r="D1345" i="1"/>
  <c r="D1346" i="1"/>
  <c r="D749" i="1"/>
  <c r="D1363" i="1"/>
  <c r="D750" i="1"/>
  <c r="D1364" i="1"/>
  <c r="D359" i="1"/>
  <c r="D232" i="1"/>
  <c r="D624" i="1"/>
  <c r="D751" i="1"/>
  <c r="D786" i="1"/>
  <c r="D950" i="1"/>
  <c r="D951" i="1"/>
  <c r="D863" i="1"/>
  <c r="D253" i="1"/>
  <c r="D1133" i="1"/>
  <c r="D983" i="1"/>
  <c r="D1134" i="1"/>
  <c r="D1365" i="1"/>
  <c r="D1366" i="1"/>
  <c r="D1111" i="1"/>
  <c r="D655" i="1"/>
  <c r="D494" i="1"/>
  <c r="D495" i="1"/>
  <c r="D1160" i="1"/>
  <c r="D496" i="1"/>
  <c r="D497" i="1"/>
  <c r="D874" i="1"/>
  <c r="D1043" i="1"/>
  <c r="D1112" i="1"/>
  <c r="D984" i="1"/>
  <c r="D1135" i="1"/>
  <c r="D498" i="1"/>
  <c r="D272" i="1"/>
  <c r="D400" i="1"/>
  <c r="D1009" i="1"/>
  <c r="D708" i="1"/>
  <c r="D734" i="1"/>
  <c r="D1010" i="1"/>
  <c r="D97" i="1"/>
  <c r="D709" i="1"/>
  <c r="D710" i="1"/>
  <c r="D1187" i="1"/>
  <c r="D1434" i="1"/>
  <c r="D46" i="1"/>
  <c r="D47" i="1"/>
  <c r="D48" i="1"/>
  <c r="D923" i="1"/>
  <c r="D924" i="1"/>
  <c r="D1447" i="1"/>
  <c r="D952" i="1"/>
  <c r="D1113" i="1"/>
  <c r="D711" i="1"/>
  <c r="D712" i="1"/>
  <c r="D49" i="1"/>
  <c r="D590" i="1"/>
  <c r="D591" i="1"/>
  <c r="D893" i="1"/>
  <c r="D953" i="1"/>
  <c r="D282" i="1"/>
  <c r="D713" i="1"/>
  <c r="D817" i="1"/>
  <c r="D752" i="1"/>
  <c r="D1021" i="1"/>
  <c r="D1435" i="1"/>
  <c r="D50" i="1"/>
  <c r="D661" i="1"/>
  <c r="D51" i="1"/>
  <c r="D1436" i="1"/>
  <c r="D499" i="1"/>
  <c r="D714" i="1"/>
  <c r="D1044" i="1"/>
  <c r="D954" i="1"/>
  <c r="D1023" i="1"/>
  <c r="D662" i="1"/>
  <c r="D942" i="1"/>
  <c r="D1237" i="1"/>
  <c r="D233" i="1"/>
  <c r="D98" i="1"/>
  <c r="D360" i="1"/>
  <c r="D1238" i="1"/>
  <c r="D1239" i="1"/>
  <c r="D254" i="1"/>
  <c r="D1332" i="1"/>
  <c r="D372" i="1"/>
  <c r="D1415" i="1"/>
  <c r="D283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255" i="1"/>
  <c r="D1259" i="1"/>
  <c r="D1260" i="1"/>
  <c r="D985" i="1"/>
  <c r="D341" i="1"/>
  <c r="D234" i="1"/>
  <c r="D1024" i="1"/>
  <c r="D500" i="1"/>
  <c r="D753" i="1"/>
  <c r="D501" i="1"/>
  <c r="D1367" i="1"/>
  <c r="D342" i="1"/>
  <c r="D235" i="1"/>
  <c r="D236" i="1"/>
  <c r="D343" i="1"/>
  <c r="D592" i="1"/>
  <c r="D1025" i="1"/>
  <c r="D698" i="1"/>
  <c r="D1114" i="1"/>
  <c r="D1096" i="1"/>
  <c r="D373" i="1"/>
  <c r="D1240" i="1"/>
  <c r="D1333" i="1"/>
  <c r="D955" i="1"/>
  <c r="D1097" i="1"/>
  <c r="D754" i="1"/>
  <c r="D956" i="1"/>
  <c r="D625" i="1"/>
  <c r="D626" i="1"/>
  <c r="D52" i="1"/>
  <c r="D502" i="1"/>
  <c r="D503" i="1"/>
  <c r="D504" i="1"/>
  <c r="D755" i="1"/>
  <c r="D1241" i="1"/>
  <c r="D401" i="1"/>
  <c r="D328" i="1"/>
  <c r="D1368" i="1"/>
  <c r="D505" i="1"/>
  <c r="D322" i="1"/>
  <c r="D344" i="1"/>
  <c r="D329" i="1"/>
  <c r="D330" i="1"/>
  <c r="D331" i="1"/>
  <c r="D332" i="1"/>
  <c r="D333" i="1"/>
  <c r="D1448" i="1"/>
  <c r="D875" i="1"/>
  <c r="D1098" i="1"/>
  <c r="D506" i="1"/>
  <c r="D876" i="1"/>
  <c r="D374" i="1"/>
  <c r="D375" i="1"/>
  <c r="D376" i="1"/>
  <c r="D877" i="1"/>
  <c r="D377" i="1"/>
  <c r="D1228" i="1"/>
  <c r="D1449" i="1"/>
  <c r="D1050" i="1"/>
  <c r="D1136" i="1"/>
  <c r="D1026" i="1"/>
  <c r="D257" i="1"/>
  <c r="D258" i="1"/>
  <c r="D864" i="1"/>
  <c r="D507" i="1"/>
  <c r="D256" i="1"/>
  <c r="D508" i="1"/>
  <c r="D1369" i="1"/>
  <c r="D274" i="1"/>
  <c r="D275" i="1"/>
  <c r="D273" i="1"/>
  <c r="D865" i="1"/>
  <c r="D509" i="1"/>
  <c r="D510" i="1"/>
  <c r="D511" i="1"/>
  <c r="D259" i="1"/>
  <c r="D653" i="1"/>
  <c r="D735" i="1"/>
  <c r="D1045" i="1"/>
  <c r="D652" i="1"/>
  <c r="D53" i="1"/>
  <c r="D54" i="1"/>
  <c r="D55" i="1"/>
  <c r="D1161" i="1"/>
  <c r="D426" i="1"/>
  <c r="D361" i="1"/>
  <c r="D1450" i="1"/>
  <c r="D1188" i="1"/>
  <c r="D627" i="1"/>
  <c r="D699" i="1"/>
  <c r="D378" i="1"/>
  <c r="D792" i="1"/>
  <c r="D715" i="1"/>
  <c r="D1162" i="1"/>
  <c r="D1163" i="1"/>
  <c r="D1164" i="1"/>
  <c r="D756" i="1"/>
  <c r="D1027" i="1"/>
  <c r="D736" i="1"/>
  <c r="D512" i="1"/>
  <c r="D582" i="1"/>
  <c r="D1165" i="1"/>
  <c r="D99" i="1"/>
  <c r="D345" i="1"/>
  <c r="D56" i="1"/>
  <c r="D57" i="1"/>
  <c r="D58" i="1"/>
  <c r="D59" i="1"/>
  <c r="D346" i="1"/>
  <c r="D1233" i="1"/>
  <c r="D1404" i="1"/>
  <c r="D593" i="1"/>
  <c r="D594" i="1"/>
  <c r="D818" i="1"/>
  <c r="D819" i="1"/>
  <c r="D820" i="1"/>
  <c r="D362" i="1"/>
  <c r="D1166" i="1"/>
  <c r="D1167" i="1"/>
  <c r="D757" i="1"/>
  <c r="D1115" i="1"/>
  <c r="D1218" i="1"/>
  <c r="D787" i="1"/>
  <c r="D260" i="1"/>
  <c r="D513" i="1"/>
  <c r="D1028" i="1"/>
  <c r="D1219" i="1"/>
  <c r="D292" i="1"/>
  <c r="D821" i="1"/>
  <c r="D514" i="1"/>
  <c r="D310" i="1"/>
  <c r="D347" i="1"/>
  <c r="D379" i="1"/>
  <c r="D7" i="1"/>
  <c r="D1214" i="1"/>
  <c r="D758" i="1"/>
  <c r="D759" i="1"/>
  <c r="D1338" i="1"/>
  <c r="D1202" i="1"/>
  <c r="D60" i="1"/>
  <c r="D1405" i="1"/>
  <c r="D1168" i="1"/>
  <c r="D1370" i="1"/>
  <c r="D1203" i="1"/>
  <c r="D654" i="1"/>
  <c r="D1339" i="1"/>
  <c r="D1220" i="1"/>
  <c r="D276" i="1"/>
  <c r="D515" i="1"/>
  <c r="D1371" i="1"/>
  <c r="D595" i="1"/>
  <c r="D516" i="1"/>
  <c r="D1242" i="1"/>
  <c r="D1372" i="1"/>
  <c r="D261" i="1"/>
  <c r="D1437" i="1"/>
  <c r="D262" i="1"/>
  <c r="D263" i="1"/>
  <c r="D61" i="1"/>
  <c r="D62" i="1"/>
  <c r="D63" i="1"/>
  <c r="D64" i="1"/>
  <c r="D716" i="1"/>
  <c r="D1137" i="1"/>
  <c r="D760" i="1"/>
  <c r="D1373" i="1"/>
  <c r="D822" i="1"/>
  <c r="D1046" i="1"/>
  <c r="D687" i="1"/>
  <c r="D823" i="1"/>
  <c r="D894" i="1"/>
  <c r="D895" i="1"/>
  <c r="D896" i="1"/>
  <c r="D824" i="1"/>
  <c r="D237" i="1"/>
  <c r="D25" i="1"/>
  <c r="D65" i="1"/>
  <c r="D380" i="1"/>
  <c r="D293" i="1"/>
  <c r="D663" i="1"/>
  <c r="D975" i="1"/>
  <c r="D1116" i="1"/>
  <c r="D976" i="1"/>
  <c r="D517" i="1"/>
  <c r="D761" i="1"/>
  <c r="D762" i="1"/>
  <c r="D897" i="1"/>
  <c r="D664" i="1"/>
  <c r="D763" i="1"/>
  <c r="D1321" i="1"/>
  <c r="D1099" i="1"/>
  <c r="D986" i="1"/>
  <c r="D1336" i="1"/>
  <c r="D100" i="1"/>
  <c r="D277" i="1"/>
  <c r="D278" i="1"/>
  <c r="D866" i="1"/>
  <c r="D1374" i="1"/>
  <c r="D518" i="1"/>
  <c r="D319" i="1"/>
  <c r="D101" i="1"/>
  <c r="D264" i="1"/>
  <c r="D279" i="1"/>
  <c r="D348" i="1"/>
  <c r="D878" i="1"/>
  <c r="D957" i="1"/>
  <c r="D1029" i="1"/>
  <c r="D519" i="1"/>
  <c r="D520" i="1"/>
  <c r="D1056" i="1"/>
  <c r="D1057" i="1"/>
  <c r="D1058" i="1"/>
  <c r="D1059" i="1"/>
  <c r="D1060" i="1"/>
  <c r="D1061" i="1"/>
  <c r="D1062" i="1"/>
  <c r="D1063" i="1"/>
  <c r="D966" i="1"/>
  <c r="D717" i="1"/>
  <c r="D311" i="1"/>
  <c r="D294" i="1"/>
  <c r="D521" i="1"/>
  <c r="D8" i="1"/>
  <c r="D522" i="1"/>
  <c r="D596" i="1"/>
  <c r="D1406" i="1"/>
  <c r="D793" i="1"/>
  <c r="D925" i="1"/>
  <c r="D794" i="1"/>
  <c r="D1407" i="1"/>
  <c r="D926" i="1"/>
  <c r="D1408" i="1"/>
  <c r="D1409" i="1"/>
  <c r="D665" i="1"/>
  <c r="D967" i="1"/>
  <c r="D66" i="1"/>
  <c r="D67" i="1"/>
  <c r="D987" i="1"/>
  <c r="D1030" i="1"/>
  <c r="D825" i="1"/>
  <c r="D349" i="1"/>
  <c r="D1138" i="1"/>
  <c r="D523" i="1"/>
  <c r="D524" i="1"/>
  <c r="D363" i="1"/>
  <c r="D913" i="1"/>
  <c r="D914" i="1"/>
  <c r="D525" i="1"/>
  <c r="D737" i="1"/>
  <c r="D764" i="1"/>
  <c r="D765" i="1"/>
  <c r="D427" i="1"/>
  <c r="D666" i="1"/>
  <c r="D667" i="1"/>
  <c r="D1196" i="1"/>
  <c r="D1204" i="1"/>
  <c r="D688" i="1"/>
  <c r="D1261" i="1"/>
  <c r="D1262" i="1"/>
  <c r="D1263" i="1"/>
  <c r="D1264" i="1"/>
  <c r="D879" i="1"/>
  <c r="D526" i="1"/>
  <c r="D527" i="1"/>
  <c r="D880" i="1"/>
  <c r="D689" i="1"/>
  <c r="D898" i="1"/>
  <c r="D899" i="1"/>
  <c r="D900" i="1"/>
  <c r="D901" i="1"/>
  <c r="D902" i="1"/>
  <c r="D690" i="1"/>
  <c r="D1189" i="1"/>
  <c r="D1169" i="1"/>
  <c r="D988" i="1"/>
  <c r="D826" i="1"/>
  <c r="D1438" i="1"/>
  <c r="D350" i="1"/>
  <c r="D1190" i="1"/>
  <c r="D1451" i="1"/>
  <c r="D528" i="1"/>
  <c r="D265" i="1"/>
  <c r="D402" i="1"/>
  <c r="D68" i="1"/>
  <c r="D266" i="1"/>
  <c r="D69" i="1"/>
  <c r="D827" i="1"/>
  <c r="D691" i="1"/>
  <c r="D1452" i="1"/>
  <c r="D295" i="1"/>
  <c r="D1243" i="1"/>
  <c r="D1375" i="1"/>
  <c r="D1376" i="1"/>
  <c r="D1377" i="1"/>
  <c r="D1378" i="1"/>
  <c r="D1379" i="1"/>
  <c r="D1380" i="1"/>
  <c r="D1381" i="1"/>
  <c r="D1382" i="1"/>
  <c r="D718" i="1"/>
  <c r="D989" i="1"/>
  <c r="D1439" i="1"/>
  <c r="D1191" i="1"/>
  <c r="D597" i="1"/>
  <c r="D598" i="1"/>
  <c r="D1440" i="1"/>
  <c r="D1441" i="1"/>
  <c r="D308" i="1"/>
  <c r="D307" i="1"/>
  <c r="D529" i="1"/>
  <c r="D1383" i="1"/>
  <c r="D599" i="1"/>
  <c r="D600" i="1"/>
  <c r="D601" i="1"/>
  <c r="D1064" i="1"/>
  <c r="D1065" i="1"/>
  <c r="D1066" i="1"/>
  <c r="D1067" i="1"/>
  <c r="D1068" i="1"/>
  <c r="D1069" i="1"/>
  <c r="D1070" i="1"/>
  <c r="D1071" i="1"/>
  <c r="D1072" i="1"/>
  <c r="D719" i="1"/>
  <c r="D1244" i="1"/>
  <c r="D530" i="1"/>
  <c r="D1453" i="1"/>
  <c r="D381" i="1"/>
  <c r="D531" i="1"/>
  <c r="D532" i="1"/>
  <c r="D968" i="1"/>
  <c r="D969" i="1"/>
  <c r="D1143" i="1"/>
  <c r="D533" i="1"/>
  <c r="D534" i="1"/>
  <c r="D1170" i="1"/>
  <c r="D990" i="1"/>
  <c r="D1192" i="1"/>
  <c r="D312" i="1"/>
  <c r="D1425" i="1"/>
  <c r="D535" i="1"/>
  <c r="D536" i="1"/>
  <c r="D1265" i="1"/>
  <c r="D881" i="1"/>
  <c r="D1031" i="1"/>
  <c r="D364" i="1"/>
  <c r="D238" i="1"/>
  <c r="D828" i="1"/>
  <c r="D1082" i="1"/>
  <c r="D1083" i="1"/>
  <c r="D1084" i="1"/>
  <c r="D1085" i="1"/>
  <c r="D1086" i="1"/>
  <c r="D1087" i="1"/>
  <c r="D1088" i="1"/>
  <c r="D829" i="1"/>
  <c r="D1089" i="1"/>
  <c r="D1079" i="1"/>
  <c r="D1080" i="1"/>
  <c r="D1053" i="1"/>
  <c r="D1081" i="1"/>
  <c r="D692" i="1"/>
  <c r="D1022" i="1"/>
  <c r="D102" i="1"/>
  <c r="D537" i="1"/>
  <c r="D1317" i="1"/>
  <c r="D1266" i="1"/>
  <c r="D1267" i="1"/>
  <c r="D628" i="1"/>
  <c r="D629" i="1"/>
  <c r="D630" i="1"/>
  <c r="D631" i="1"/>
  <c r="D1305" i="1"/>
  <c r="D538" i="1"/>
  <c r="D539" i="1"/>
  <c r="D720" i="1"/>
  <c r="D1193" i="1"/>
  <c r="D1322" i="1"/>
  <c r="D1126" i="1"/>
  <c r="D1205" i="1"/>
  <c r="D1442" i="1"/>
  <c r="D1011" i="1"/>
  <c r="D1012" i="1"/>
  <c r="D103" i="1"/>
  <c r="D1443" i="1"/>
  <c r="D1444" i="1"/>
  <c r="D540" i="1"/>
  <c r="D958" i="1"/>
  <c r="D541" i="1"/>
  <c r="D267" i="1"/>
  <c r="D268" i="1"/>
  <c r="D70" i="1"/>
  <c r="D269" i="1"/>
  <c r="D1013" i="1"/>
  <c r="D284" i="1"/>
  <c r="D1206" i="1"/>
  <c r="D1139" i="1"/>
  <c r="D1140" i="1"/>
  <c r="D26" i="1"/>
  <c r="D542" i="1"/>
  <c r="D1410" i="1"/>
  <c r="D1411" i="1"/>
  <c r="D1245" i="1"/>
  <c r="D1412" i="1"/>
  <c r="D335" i="1"/>
  <c r="D109" i="1"/>
  <c r="D110" i="1"/>
  <c r="D1117" i="1"/>
  <c r="D543" i="1"/>
  <c r="D9" i="1"/>
  <c r="D1384" i="1"/>
  <c r="D1385" i="1"/>
  <c r="D830" i="1"/>
  <c r="D932" i="1"/>
  <c r="D927" i="1"/>
  <c r="D915" i="1"/>
  <c r="D933" i="1"/>
  <c r="D831" i="1"/>
  <c r="D334" i="1"/>
  <c r="D1246" i="1"/>
  <c r="D239" i="1"/>
  <c r="D71" i="1"/>
  <c r="D72" i="1"/>
  <c r="D1118" i="1"/>
  <c r="D903" i="1"/>
  <c r="D916" i="1"/>
  <c r="D10" i="1"/>
  <c r="D1119" i="1"/>
  <c r="D544" i="1"/>
  <c r="D632" i="1"/>
  <c r="D633" i="1"/>
  <c r="D832" i="1"/>
  <c r="D634" i="1"/>
  <c r="D635" i="1"/>
  <c r="D636" i="1"/>
  <c r="D637" i="1"/>
  <c r="D638" i="1"/>
  <c r="D1194" i="1"/>
  <c r="D639" i="1"/>
  <c r="D640" i="1"/>
  <c r="D641" i="1"/>
  <c r="D11" i="1"/>
  <c r="D934" i="1"/>
  <c r="D935" i="1"/>
  <c r="D73" i="1"/>
  <c r="D1323" i="1"/>
  <c r="D1324" i="1"/>
  <c r="D1413" i="1"/>
  <c r="D403" i="1"/>
  <c r="D404" i="1"/>
  <c r="D405" i="1"/>
  <c r="D406" i="1"/>
  <c r="D1334" i="1"/>
  <c r="D1141" i="1"/>
  <c r="D1207" i="1"/>
  <c r="D788" i="1"/>
  <c r="D904" i="1"/>
  <c r="D1047" i="1"/>
  <c r="D905" i="1"/>
  <c r="D906" i="1"/>
  <c r="D907" i="1"/>
  <c r="D74" i="1"/>
  <c r="D959" i="1"/>
  <c r="D1386" i="1"/>
  <c r="D1387" i="1"/>
  <c r="D351" i="1"/>
  <c r="D545" i="1"/>
  <c r="D546" i="1"/>
  <c r="D970" i="1"/>
  <c r="D547" i="1"/>
  <c r="D548" i="1"/>
  <c r="D1171" i="1"/>
  <c r="D971" i="1"/>
  <c r="D549" i="1"/>
  <c r="D550" i="1"/>
  <c r="D867" i="1"/>
  <c r="D551" i="1"/>
  <c r="D552" i="1"/>
  <c r="D553" i="1"/>
  <c r="D1388" i="1"/>
  <c r="D1389" i="1"/>
  <c r="D1247" i="1"/>
  <c r="D789" i="1"/>
  <c r="D75" i="1"/>
  <c r="D721" i="1"/>
  <c r="D1390" i="1"/>
  <c r="D960" i="1"/>
  <c r="D722" i="1"/>
  <c r="D1248" i="1"/>
  <c r="D693" i="1"/>
  <c r="D554" i="1"/>
  <c r="D1391" i="1"/>
  <c r="D741" i="1"/>
  <c r="D1197" i="1"/>
  <c r="D352" i="1"/>
  <c r="D555" i="1"/>
  <c r="D1392" i="1"/>
  <c r="D972" i="1"/>
  <c r="D1393" i="1"/>
  <c r="D407" i="1"/>
  <c r="D408" i="1"/>
  <c r="D409" i="1"/>
  <c r="D410" i="1"/>
  <c r="D738" i="1"/>
  <c r="D76" i="1"/>
  <c r="D961" i="1"/>
  <c r="D556" i="1"/>
  <c r="D557" i="1"/>
  <c r="D558" i="1"/>
  <c r="D353" i="1"/>
  <c r="D1249" i="1"/>
  <c r="D700" i="1"/>
  <c r="D943" i="1"/>
  <c r="D323" i="1"/>
  <c r="D324" i="1"/>
  <c r="D602" i="1"/>
  <c r="D603" i="1"/>
  <c r="D240" i="1"/>
  <c r="D77" i="1"/>
  <c r="D668" i="1"/>
  <c r="D928" i="1"/>
  <c r="D868" i="1"/>
  <c r="D1014" i="1"/>
  <c r="D1015" i="1"/>
  <c r="D1016" i="1"/>
  <c r="D869" i="1"/>
  <c r="D833" i="1"/>
  <c r="D656" i="1"/>
  <c r="D411" i="1"/>
  <c r="D365" i="1"/>
  <c r="D78" i="1"/>
  <c r="D1394" i="1"/>
  <c r="D882" i="1"/>
  <c r="D296" i="1"/>
  <c r="D908" i="1"/>
  <c r="D297" i="1"/>
  <c r="D412" i="1"/>
  <c r="D1100" i="1"/>
  <c r="D1306" i="1"/>
  <c r="D1307" i="1"/>
  <c r="D1325" i="1"/>
  <c r="D1234" i="1"/>
  <c r="D917" i="1"/>
  <c r="D723" i="1"/>
  <c r="D642" i="1"/>
  <c r="D559" i="1"/>
  <c r="D1172" i="1"/>
  <c r="D1208" i="1"/>
  <c r="D1229" i="1"/>
  <c r="D962" i="1"/>
  <c r="D1101" i="1"/>
  <c r="D560" i="1"/>
  <c r="D1426" i="1"/>
  <c r="D1128" i="1"/>
  <c r="D1173" i="1"/>
  <c r="D766" i="1"/>
  <c r="D767" i="1"/>
  <c r="D768" i="1"/>
  <c r="D669" i="1"/>
  <c r="D795" i="1"/>
  <c r="D796" i="1"/>
  <c r="D909" i="1"/>
  <c r="D1209" i="1"/>
  <c r="D724" i="1"/>
  <c r="D604" i="1"/>
  <c r="D298" i="1"/>
  <c r="D561" i="1"/>
  <c r="D79" i="1"/>
  <c r="D605" i="1"/>
  <c r="D1395" i="1"/>
  <c r="D1032" i="1"/>
  <c r="D1174" i="1"/>
  <c r="D606" i="1"/>
  <c r="D1396" i="1"/>
  <c r="D1347" i="1"/>
  <c r="D80" i="1"/>
  <c r="D1397" i="1"/>
  <c r="D299" i="1"/>
  <c r="D562" i="1"/>
  <c r="D701" i="1"/>
  <c r="D413" i="1"/>
  <c r="D414" i="1"/>
  <c r="D563" i="1"/>
  <c r="D415" i="1"/>
  <c r="D929" i="1"/>
  <c r="D936" i="1"/>
  <c r="D918" i="1"/>
  <c r="D937" i="1"/>
  <c r="D111" i="1"/>
  <c r="D112" i="1"/>
  <c r="D113" i="1"/>
  <c r="D114" i="1"/>
  <c r="D115" i="1"/>
  <c r="D116" i="1"/>
  <c r="D117" i="1"/>
  <c r="D119" i="1"/>
  <c r="D120" i="1"/>
  <c r="D121" i="1"/>
  <c r="D118" i="1"/>
  <c r="D122" i="1"/>
  <c r="D123" i="1"/>
  <c r="D124" i="1"/>
  <c r="D125" i="1"/>
  <c r="D126" i="1"/>
  <c r="D127" i="1"/>
  <c r="D129" i="1"/>
  <c r="D128" i="1"/>
  <c r="D130" i="1"/>
  <c r="D132" i="1"/>
  <c r="D131" i="1"/>
  <c r="D133" i="1"/>
  <c r="D134" i="1"/>
  <c r="D135" i="1"/>
  <c r="D136" i="1"/>
  <c r="D137" i="1"/>
  <c r="D139" i="1"/>
  <c r="D140" i="1"/>
  <c r="D141" i="1"/>
  <c r="D138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8" i="1"/>
  <c r="D167" i="1"/>
  <c r="D169" i="1"/>
  <c r="D170" i="1"/>
  <c r="D171" i="1"/>
  <c r="D174" i="1"/>
  <c r="D172" i="1"/>
  <c r="D175" i="1"/>
  <c r="D176" i="1"/>
  <c r="D173" i="1"/>
  <c r="D177" i="1"/>
  <c r="D178" i="1"/>
  <c r="D179" i="1"/>
  <c r="D181" i="1"/>
  <c r="D182" i="1"/>
  <c r="D183" i="1"/>
  <c r="D184" i="1"/>
  <c r="D180" i="1"/>
  <c r="D185" i="1"/>
  <c r="D186" i="1"/>
  <c r="D187" i="1"/>
  <c r="D188" i="1"/>
  <c r="D189" i="1"/>
  <c r="D190" i="1"/>
  <c r="D191" i="1"/>
  <c r="D193" i="1"/>
  <c r="D194" i="1"/>
  <c r="D195" i="1"/>
  <c r="D196" i="1"/>
  <c r="D192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1" i="1"/>
  <c r="D222" i="1"/>
  <c r="D223" i="1"/>
  <c r="D224" i="1"/>
  <c r="D220" i="1"/>
  <c r="D225" i="1"/>
  <c r="D226" i="1"/>
  <c r="D227" i="1"/>
  <c r="D228" i="1"/>
  <c r="D229" i="1"/>
  <c r="D230" i="1"/>
  <c r="D1398" i="1"/>
  <c r="D1399" i="1"/>
  <c r="D1400" i="1"/>
  <c r="D938" i="1"/>
  <c r="D1215" i="1"/>
  <c r="D991" i="1"/>
  <c r="D643" i="1"/>
  <c r="D313" i="1"/>
  <c r="D1054" i="1"/>
  <c r="D1416" i="1"/>
  <c r="D1417" i="1"/>
  <c r="D939" i="1"/>
  <c r="D919" i="1"/>
  <c r="D920" i="1"/>
  <c r="D300" i="1"/>
  <c r="D301" i="1"/>
  <c r="D921" i="1"/>
  <c r="D302" i="1"/>
  <c r="D303" i="1"/>
  <c r="D963" i="1"/>
  <c r="D644" i="1"/>
  <c r="D416" i="1"/>
  <c r="D417" i="1"/>
  <c r="D1340" i="1"/>
  <c r="D645" i="1"/>
  <c r="D418" i="1"/>
  <c r="D769" i="1"/>
  <c r="D382" i="1"/>
  <c r="D304" i="1"/>
  <c r="D1308" i="1"/>
  <c r="D1316" i="1"/>
  <c r="D1318" i="1"/>
  <c r="D1326" i="1"/>
  <c r="D1327" i="1"/>
  <c r="D1120" i="1"/>
  <c r="D944" i="1"/>
  <c r="D922" i="1"/>
  <c r="D354" i="1"/>
  <c r="D383" i="1"/>
  <c r="D305" i="1"/>
  <c r="D1175" i="1"/>
  <c r="D1235" i="1"/>
  <c r="D419" i="1"/>
  <c r="D104" i="1"/>
  <c r="D834" i="1"/>
  <c r="D992" i="1"/>
  <c r="D285" i="1"/>
  <c r="D1216" i="1"/>
  <c r="D286" i="1"/>
  <c r="D81" i="1"/>
  <c r="D886" i="1"/>
  <c r="D770" i="1"/>
  <c r="D798" i="1"/>
  <c r="D797" i="1"/>
  <c r="D771" i="1"/>
  <c r="D1176" i="1"/>
  <c r="D314" i="1"/>
  <c r="D1177" i="1"/>
  <c r="D1178" i="1"/>
  <c r="D646" i="1"/>
  <c r="D910" i="1"/>
  <c r="D420" i="1"/>
  <c r="D564" i="1"/>
  <c r="D1210" i="1"/>
  <c r="D883" i="1"/>
  <c r="D565" i="1"/>
  <c r="D772" i="1"/>
  <c r="D566" i="1"/>
  <c r="D973" i="1"/>
  <c r="D1341" i="1"/>
  <c r="D1348" i="1"/>
  <c r="D799" i="1"/>
  <c r="D1121" i="1"/>
  <c r="D1309" i="1"/>
  <c r="D725" i="1"/>
  <c r="D315" i="1"/>
  <c r="D670" i="1"/>
  <c r="D1017" i="1"/>
  <c r="D105" i="1"/>
  <c r="D1179" i="1"/>
  <c r="D607" i="1"/>
  <c r="D608" i="1"/>
  <c r="D1048" i="1"/>
  <c r="D1142" i="1"/>
  <c r="D1122" i="1"/>
  <c r="D1427" i="1"/>
  <c r="D993" i="1"/>
  <c r="D1328" i="1"/>
  <c r="D945" i="1"/>
  <c r="D1342" i="1"/>
  <c r="D421" i="1"/>
  <c r="D835" i="1"/>
  <c r="D694" i="1"/>
  <c r="D647" i="1"/>
  <c r="D1414" i="1"/>
  <c r="D1428" i="1"/>
  <c r="D773" i="1"/>
  <c r="D774" i="1"/>
  <c r="D609" i="1"/>
  <c r="D567" i="1"/>
  <c r="D568" i="1"/>
  <c r="D569" i="1"/>
  <c r="D671" i="1"/>
  <c r="D672" i="1"/>
  <c r="D673" i="1"/>
  <c r="D674" i="1"/>
  <c r="D790" i="1"/>
  <c r="D1250" i="1"/>
  <c r="D1230" i="1"/>
  <c r="D1180" i="1"/>
  <c r="D570" i="1"/>
  <c r="D800" i="1"/>
  <c r="D648" i="1"/>
  <c r="D649" i="1"/>
  <c r="D695" i="1"/>
  <c r="D1329" i="1"/>
  <c r="D1330" i="1"/>
  <c r="D12" i="1"/>
  <c r="D13" i="1"/>
  <c r="D355" i="1"/>
  <c r="D82" i="1"/>
  <c r="D994" i="1"/>
  <c r="D83" i="1"/>
  <c r="D106" i="1"/>
  <c r="D84" i="1"/>
  <c r="D1251" i="1"/>
  <c r="D1252" i="1"/>
  <c r="D657" i="1"/>
  <c r="D658" i="1"/>
  <c r="D1195" i="1"/>
  <c r="D571" i="1"/>
  <c r="D1033" i="1"/>
  <c r="D1034" i="1"/>
  <c r="D1401" i="1"/>
  <c r="D1035" i="1"/>
  <c r="D572" i="1"/>
  <c r="D356" i="1"/>
  <c r="D384" i="1"/>
  <c r="D573" i="1"/>
  <c r="D726" i="1"/>
  <c r="D1198" i="1"/>
  <c r="D1018" i="1"/>
  <c r="D1019" i="1"/>
  <c r="D727" i="1"/>
  <c r="D995" i="1"/>
  <c r="D1036" i="1"/>
  <c r="D287" i="1"/>
  <c r="D385" i="1"/>
  <c r="D996" i="1"/>
  <c r="D1020" i="1"/>
  <c r="D1331" i="1"/>
  <c r="D1268" i="1"/>
  <c r="D696" i="1"/>
  <c r="D574" i="1"/>
  <c r="D1075" i="1"/>
  <c r="D1076" i="1"/>
  <c r="D997" i="1"/>
  <c r="D739" i="1"/>
  <c r="D1429" i="1"/>
  <c r="D998" i="1"/>
  <c r="D999" i="1"/>
  <c r="D1000" i="1"/>
  <c r="D1001" i="1"/>
  <c r="D575" i="1"/>
  <c r="D946" i="1"/>
  <c r="D1090" i="1"/>
  <c r="D728" i="1"/>
  <c r="D775" i="1"/>
  <c r="D884" i="1"/>
  <c r="D870" i="1"/>
  <c r="D871" i="1"/>
  <c r="D776" i="1"/>
  <c r="D777" i="1"/>
  <c r="D791" i="1"/>
  <c r="D729" i="1"/>
  <c r="D730" i="1"/>
  <c r="D1037" i="1"/>
  <c r="D610" i="1"/>
  <c r="D1002" i="1"/>
  <c r="D422" i="1"/>
  <c r="D731" i="1"/>
  <c r="D1123" i="1"/>
  <c r="D1124" i="1"/>
  <c r="D423" i="1"/>
  <c r="D1454" i="1"/>
  <c r="D424" i="1"/>
  <c r="D1211" i="1"/>
  <c r="D732" i="1"/>
  <c r="D733" i="1"/>
  <c r="D583" i="1"/>
  <c r="D1129" i="1"/>
  <c r="D387" i="1"/>
  <c r="D388" i="1"/>
  <c r="D389" i="1"/>
  <c r="D390" i="1"/>
  <c r="D391" i="1"/>
  <c r="D392" i="1"/>
  <c r="D386" i="1"/>
  <c r="D393" i="1"/>
  <c r="D1181" i="1"/>
  <c r="D576" i="1"/>
  <c r="D577" i="1"/>
  <c r="D1253" i="1"/>
  <c r="D578" i="1"/>
  <c r="D885" i="1"/>
  <c r="D579" i="1"/>
  <c r="D580" i="1"/>
  <c r="D1254" i="1"/>
  <c r="D270" i="1"/>
  <c r="D1255" i="1"/>
  <c r="D357" i="1"/>
  <c r="D85" i="1"/>
  <c r="D394" i="1"/>
  <c r="D280" i="1"/>
  <c r="D1236" i="1"/>
  <c r="D1221" i="1"/>
  <c r="D1222" i="1"/>
  <c r="D366" i="1"/>
  <c r="D1256" i="1"/>
  <c r="D1257" i="1"/>
  <c r="D1217" i="1"/>
  <c r="D395" i="1"/>
  <c r="D581" i="1"/>
  <c r="D320" i="1"/>
  <c r="D911" i="1"/>
  <c r="D321" i="1"/>
  <c r="D125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xports_31-08-2022" type="6" refreshedVersion="6" background="1" saveData="1">
    <textPr codePage="65001" sourceFile="C:\Users\Greg\IdeaProjects\GovApiData\out\production\exports\exports_31-08-2022.csv" delimiter="^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<sst xmlns="http://schemas.openxmlformats.org/spreadsheetml/2006/main" count="4364" uniqueCount="192">
  <si>
    <t>Id</t>
  </si>
  <si>
    <t>Κατηγόρια</t>
  </si>
  <si>
    <t>Γεγ. Ζωής</t>
  </si>
  <si>
    <t>Υπηρεσία</t>
  </si>
  <si>
    <t>Φορέας</t>
  </si>
  <si>
    <t>Επιχειρηματική δραστηριότητα</t>
  </si>
  <si>
    <t>Φορολογία επιχειρήσεων</t>
  </si>
  <si>
    <t>Ενιαίο Ταμείο Επικουρικής Ασφάλισης και Εφάπαξ Παροχών (ΕΤΕΑΕΠ)</t>
  </si>
  <si>
    <t>Εργασία και ασφάλιση</t>
  </si>
  <si>
    <t>Συνταξιοδότηση</t>
  </si>
  <si>
    <t>Πολίτης και καθημερινότητα</t>
  </si>
  <si>
    <t>Πολίτες άλλων κρατών</t>
  </si>
  <si>
    <t>Υπουργείο Μετανάστευσης και Ασύλου</t>
  </si>
  <si>
    <t>Περιουσία και φορολογία</t>
  </si>
  <si>
    <t>Διαχείριση οφειλών</t>
  </si>
  <si>
    <t>Υπουργείο Οικονομικών</t>
  </si>
  <si>
    <t>Περιβάλλον και ποιότητα ζωής</t>
  </si>
  <si>
    <t>Υπουργείο Περιβάλλοντος και Ενέργειας</t>
  </si>
  <si>
    <t>Ελεύθεροι επαγγελματίες</t>
  </si>
  <si>
    <t>Ηλεκτρονικός φάκελος επιχείρησης</t>
  </si>
  <si>
    <t>Υπουργείο Εργασίας και Κοινωνικών Υποθέσεων</t>
  </si>
  <si>
    <t>Καταγγελίες</t>
  </si>
  <si>
    <t>Υπουργείο Αγροτικής Ανάπτυξης και Τροφίμων</t>
  </si>
  <si>
    <t>Αδειοδοτήσεις και συμμόρφωση</t>
  </si>
  <si>
    <t>Αρχή Διασφάλισης του Απορρήτου των Επικοινωνιών (ΑΔΑΕ)</t>
  </si>
  <si>
    <t>Στοιχεία πολίτη και ταυτοποιητικά έγγραφα</t>
  </si>
  <si>
    <t>Υπουργείο Ψηφιακής Διακυβέρνησης</t>
  </si>
  <si>
    <t>Γεωργία και κτηνοτροφία</t>
  </si>
  <si>
    <t>Συνεταιρισμοί</t>
  </si>
  <si>
    <t>Ελληνική Αστυνομία</t>
  </si>
  <si>
    <t>Κτηνοτροφία</t>
  </si>
  <si>
    <t>Περιφέρεια Αττικής</t>
  </si>
  <si>
    <t>Κοινωνική αρωγή</t>
  </si>
  <si>
    <t>Αλιεία</t>
  </si>
  <si>
    <t>Περιφέρεια Νότιου Αιγαίου</t>
  </si>
  <si>
    <t>Εισαγωγές αγροτικών προϊόντων</t>
  </si>
  <si>
    <t>Γεωργία</t>
  </si>
  <si>
    <t>Υπουργείο Ναυτιλίας και Νησιωτικής Πολιτικής</t>
  </si>
  <si>
    <t>Υγεία και πρόνοια</t>
  </si>
  <si>
    <t>Επαγγελματίες υγείας</t>
  </si>
  <si>
    <t>Τηλεπικοινωνίες</t>
  </si>
  <si>
    <t>Περιφέρεια Στερεάς Ελλάδας</t>
  </si>
  <si>
    <t>Άτομα με αναπηρίες και χρόνιες παθήσεις</t>
  </si>
  <si>
    <t>Ελληνική Επιτροπή Ατομικής Ενέργειας (ΕΕΑΕ)</t>
  </si>
  <si>
    <t>Ηλεκτρονικός Εθνικός Φορέας Κοινωνικής Ασφάλισης (e-ΕΦΚΑ)</t>
  </si>
  <si>
    <t>Αρχή Προστασίας Δεδομένων Προσωπικού Χαρακτήρα</t>
  </si>
  <si>
    <t>Απασχόληση στο δημόσιο τομέα</t>
  </si>
  <si>
    <t>Υπουργείο Πολιτισμού και Αθλητισμού</t>
  </si>
  <si>
    <t>Εθνικός Οργανισμός Δημόσιας Υγείας (ΕΟΔΥ)</t>
  </si>
  <si>
    <t>Δημόσια περιουσία και εθνικά κληροδοτήματα / κοινωφελείς περιουσίες</t>
  </si>
  <si>
    <t>Απασχόληση προσωπικού</t>
  </si>
  <si>
    <t>Επιθεώρηση Εργασίας</t>
  </si>
  <si>
    <t>Εκπαίδευση</t>
  </si>
  <si>
    <t>Θέματα εκπαίδευσης</t>
  </si>
  <si>
    <t>Υπουργείο Παιδείας και Θρησκευμάτων</t>
  </si>
  <si>
    <t>Εγγραφή σε σχολείο</t>
  </si>
  <si>
    <t>Επαγγελματίες εκπαίδευσης</t>
  </si>
  <si>
    <t>Τεχνικό Επιμελητήριο Ελλάδας (ΤΕΕ)</t>
  </si>
  <si>
    <t>Ενίσχυση επιχειρήσεων</t>
  </si>
  <si>
    <t>Ανεξάρτητη Αρχή Δημοσίων Εσόδων (ΑΑΔΕ)</t>
  </si>
  <si>
    <t>Γεωργική επιχειρηματικότητα</t>
  </si>
  <si>
    <t>Δικαιοσύνη</t>
  </si>
  <si>
    <t>Διαφορές με το δημόσιο</t>
  </si>
  <si>
    <t>Νομικό Συμβούλιο του Κράτους</t>
  </si>
  <si>
    <t>Αναγνώριση επαγγελματικών προσόντων</t>
  </si>
  <si>
    <t>Ανεργία</t>
  </si>
  <si>
    <t>Δημόσια Υπηρεσία Απασχόλησης (Δ.ΥΠ.Α.)</t>
  </si>
  <si>
    <t>Άσκηση εκλογικού δικαιώματος</t>
  </si>
  <si>
    <t>Υπουργείο Εσωτερικών</t>
  </si>
  <si>
    <t>Στράτευση</t>
  </si>
  <si>
    <t>Στρατιωτικές σχολές</t>
  </si>
  <si>
    <t>Υπουργείο Εθνικής Άμυνας</t>
  </si>
  <si>
    <t>Φυσικές  καταστροφές</t>
  </si>
  <si>
    <t>Εξ αποστάσεως εξυπηρέτηση πολιτών</t>
  </si>
  <si>
    <t>Υπουργείο Ανάπτυξης και Επενδύσεων</t>
  </si>
  <si>
    <t>Εθνικό Κέντρο Δημόσιας Διοίκησης και Αυτοδιοίκησης (ΕΚΔΔΑ)</t>
  </si>
  <si>
    <t>Κατάρτιση και εκπαιδευτικό περιεχόμενο</t>
  </si>
  <si>
    <t>Ίδρυμα Νεολαίας και Δια Βίου Μάθησης (ΙΝΕΔΙΒΙΜ)</t>
  </si>
  <si>
    <t>Σύνδεσμος Ελληνικών Ακαδημαϊκών Βιβλιοθηκών</t>
  </si>
  <si>
    <t>Πανεπιστήμια και φοίτηση</t>
  </si>
  <si>
    <t>Φορολογία πολιτών</t>
  </si>
  <si>
    <t>Κτηνοτροφική επιχειρηματικότητα</t>
  </si>
  <si>
    <t>Μετακινήσεις</t>
  </si>
  <si>
    <t>Περιφέρεια Κεντρικής Μακεδονίας</t>
  </si>
  <si>
    <t>Ψηφιακές δεξιότητες</t>
  </si>
  <si>
    <t>Αναβολή / διακοπή στράτευσης</t>
  </si>
  <si>
    <t>Επιδόματα</t>
  </si>
  <si>
    <t>Οργανισμός Προνοιακών Επιδομάτων και Κοινωνικής Αλληλεγγύης (ΟΠΕΚΑ)</t>
  </si>
  <si>
    <t>Εθνικός Οργανισμός Παροχής Υπηρεσιών Υγείας (ΕΟΠΥΥ)</t>
  </si>
  <si>
    <t>Επιθεώρηση εργασίας</t>
  </si>
  <si>
    <t>Πολιτισμός, αθλητισμός και τουρισμός</t>
  </si>
  <si>
    <t>Αθλητισμός</t>
  </si>
  <si>
    <t>Αναγνώριση τίτλου σπουδών</t>
  </si>
  <si>
    <t>Διεπιστημονικός Οργανισμός Αναγνώρισης Τίτλων Ακαδημαϊκών και Πληροφόρησης (ΔΟΑΤΑΠ)</t>
  </si>
  <si>
    <t>Δικαστήρια</t>
  </si>
  <si>
    <t>Συμβούλιο της Επικρατείας</t>
  </si>
  <si>
    <t>Κτηματολόγιο</t>
  </si>
  <si>
    <t>Ελληνικό Κτηματολόγιο</t>
  </si>
  <si>
    <t>Μεταφράσεις</t>
  </si>
  <si>
    <t>Υπουργείο Εξωτερικών</t>
  </si>
  <si>
    <t>Ιατροφαρμακευτική περίθαλψη</t>
  </si>
  <si>
    <t>Ηλεκτρονικές υπογραφές</t>
  </si>
  <si>
    <t>Επιδοτήσεις πολιτών</t>
  </si>
  <si>
    <t>Ασφάλιση γεωργικής παραγωγής</t>
  </si>
  <si>
    <t>Ελληνικός Οργανισμός Γεωργικών Ασφαλίσεων (ΕΛΓΑ)</t>
  </si>
  <si>
    <t>Οχήματα</t>
  </si>
  <si>
    <t>Περιφέρεια Ανατολικής Μακεδονίας και Θράκης</t>
  </si>
  <si>
    <t>Οργανισμός Βιομηχανικής Ιδιοκτησίας (ΟΒΙ)</t>
  </si>
  <si>
    <t>Οικογένεια</t>
  </si>
  <si>
    <t>Οικογενειακή κατάσταση</t>
  </si>
  <si>
    <t>Ποινικό Μητρώο</t>
  </si>
  <si>
    <t>Υπουργείο Δικαιοσύνης</t>
  </si>
  <si>
    <t>Δικόγραφα</t>
  </si>
  <si>
    <t>Απόστρατοι</t>
  </si>
  <si>
    <t>Διαχείριση ακίνητης περιουσίας</t>
  </si>
  <si>
    <t>Κεντρική Ένωση Δήμων Ελλάδας (ΚΕΔΕ)</t>
  </si>
  <si>
    <t>Απαλλαγή στράτευσης</t>
  </si>
  <si>
    <t>Ελληνική Στατιστική Αρχή (ΕΛΣΤΑΤ)</t>
  </si>
  <si>
    <t>Ασφάλιση</t>
  </si>
  <si>
    <t>Μεταβολές</t>
  </si>
  <si>
    <t>Έρευνα</t>
  </si>
  <si>
    <t>Εθνικό Κέντρο Κοινωνικών Ερευνών (ΕΚΚΕ)</t>
  </si>
  <si>
    <t>Επιδοτήσεις</t>
  </si>
  <si>
    <t>Οργανισμός Πληρωμών και Ελέγχου Κοινοτικών Ενισχύσεων Προσανατολισμού και Εγγυήσεων (ΟΠΕΚΕΠΕ)</t>
  </si>
  <si>
    <t>Απώλεια</t>
  </si>
  <si>
    <t>Έφεδροι</t>
  </si>
  <si>
    <t>Ανώτατο Συμβούλιο Επιλογής Προσωπικού (ΑΣΕΠ)</t>
  </si>
  <si>
    <t>Κέντρο Ελληνικής Γλώσσας</t>
  </si>
  <si>
    <t>Νομοθεσία και αποφάσεις</t>
  </si>
  <si>
    <t>Πρόσθετη στρατιωτική υποχρέωση</t>
  </si>
  <si>
    <t>Αρχαιολογικοί χώροι και πολιτιστική κληρονομιά</t>
  </si>
  <si>
    <t>Έλεγχος εγκυρότητας φορολογικών και ασφαλιστικών στοιχείων</t>
  </si>
  <si>
    <t>Ηλεκτρονική Διακυβέρνηση Κοινωνικής Ασφάλισης (ΗΔΙΚΑ) ΑΕ</t>
  </si>
  <si>
    <t>Φάκελος υγείας</t>
  </si>
  <si>
    <t>Διαζύγιο</t>
  </si>
  <si>
    <t>Μετοχικό Ταμείο Πολιτικών Υπαλλήλων</t>
  </si>
  <si>
    <t>Κορωνοϊός COVID-19</t>
  </si>
  <si>
    <t>Υπουργείο Υγείας</t>
  </si>
  <si>
    <t>Βιομηχανική Ιδιοκτησία</t>
  </si>
  <si>
    <t>Καταστήματα κράτησης</t>
  </si>
  <si>
    <t>Διεύθυνση κατοικίας και επικοινωνίας</t>
  </si>
  <si>
    <t>Επιτροπής Διερεύνησης Ατυχημάτων και Ασφάλειας Πτήσεων</t>
  </si>
  <si>
    <t>Εθνικός Οργανισμός Πιστοποίησης Προσόντων &amp; Επαγγελματικού Προσανατολισμού (ΕΟΠΠΕΠ)</t>
  </si>
  <si>
    <t>Ταμείο Παρακαταθηκών και Δανείων</t>
  </si>
  <si>
    <t>Αριστοτέλειο Πανεπιστήμιο Θεσσαλονίκης (ΑΠΘ)</t>
  </si>
  <si>
    <t>Έναρξη και λύση επιχείρησης</t>
  </si>
  <si>
    <t>Εθνικό Δίκτυο Υποδομών Τεχνολογίας και Έρευνας ΑΕ (ΕΔΥΤΕ ΑΕ)</t>
  </si>
  <si>
    <t>Φόρος Προστιθέμενης Αξίας (ΦΠΑ)</t>
  </si>
  <si>
    <t>Γέννηση</t>
  </si>
  <si>
    <t>Εθνικός Οργανισμός Μεταμοσχεύσεων (ΕΟΜ)</t>
  </si>
  <si>
    <t>Τρόφιμα</t>
  </si>
  <si>
    <t>Πόθεν έσχες και περιουσιολόγιο</t>
  </si>
  <si>
    <t>Εθνική Αρχή Διαφάνειας</t>
  </si>
  <si>
    <t>Προεδρία της Κυβέρνησης</t>
  </si>
  <si>
    <t>Τελωνειακές υπηρεσίες</t>
  </si>
  <si>
    <t>Εκδόσεις και πολιτιστικό περιεχόμενο</t>
  </si>
  <si>
    <t>Εθνική Βιβλιοθήκη της Ελλάδος</t>
  </si>
  <si>
    <t>Εθνικό Κέντρο Τεκμηρίωσης και Ηλεκτρονικού Περιεχομένου</t>
  </si>
  <si>
    <t>Μητρώα αρρένων</t>
  </si>
  <si>
    <t>Ινστιτούτο Τεχνολογίας Υπολογιστών και Εκδόσεων (ΙΤΥΕ)</t>
  </si>
  <si>
    <t>Επίσκεψη και νοσηλεία σε νοσοκομείο</t>
  </si>
  <si>
    <t>Σωματεία</t>
  </si>
  <si>
    <t>Εθνική Επιτροπή Τηλεπικοινωνιών και Ταχυδρομείων</t>
  </si>
  <si>
    <t>Υπουργείο Υποδομών και Μεταφορών</t>
  </si>
  <si>
    <t>Οργανισμός Αστικών Συγκοινωνιών Αθηνών (ΟΑΣΑ)</t>
  </si>
  <si>
    <t>Εγγραφή σε βρεφικό και παιδικό σταθμό</t>
  </si>
  <si>
    <t>Εθνικό Κέντρο Αιμοδοσίας (ΕΚΕΑ)</t>
  </si>
  <si>
    <t>Υπηρεσίες χημείου</t>
  </si>
  <si>
    <t>Αποζημιώσεις και παροχές</t>
  </si>
  <si>
    <t>Ακίνητη περιουσία επιχειρήσεων</t>
  </si>
  <si>
    <t>Ταμείο Αρχαιολογικών Πόρων και Απαλλοτριώσεων</t>
  </si>
  <si>
    <t>Ψηφιακά έγγραφα gov.gr</t>
  </si>
  <si>
    <t>Στρατολογική κατάσταση</t>
  </si>
  <si>
    <t>Ταμείο Επικουρικής Κεφαλοποιητικής Ασφάλισης (ΤΕΚΑ)</t>
  </si>
  <si>
    <t>Εθνικό Σύστημα Υποδομών Ποιότητας</t>
  </si>
  <si>
    <t>Κατάταξη</t>
  </si>
  <si>
    <t>Συνήγορος του Πολίτη</t>
  </si>
  <si>
    <t>Ταχυδρομεία</t>
  </si>
  <si>
    <t>Ολομέλεια των Προέδρων των Δικηγορικών Συλλόγων Ελλάδος</t>
  </si>
  <si>
    <t>Πληρωμές και παράβολα</t>
  </si>
  <si>
    <t>Απογραφή</t>
  </si>
  <si>
    <t>Εκπαιδευτικό βιογραφικό</t>
  </si>
  <si>
    <t>Εξαγωγές αγροτικών προϊόντων και ζώντων ζώων</t>
  </si>
  <si>
    <t>Ινστιτούτο Εκπαιδευτικής Πολιτικής (ΙΕΠ)</t>
  </si>
  <si>
    <t>Ελληνική Εταιρία Τοπικής Ανάπτυξης και Αυτοδιοίκησης (ΕΕΤΑΑ ΑΕ)</t>
  </si>
  <si>
    <t>Κατασκηνώσεις</t>
  </si>
  <si>
    <t>Κεντρική Ένωση Επιμελητηρίων Ελλάδος</t>
  </si>
  <si>
    <t>Τουρισμός</t>
  </si>
  <si>
    <t>Υπουργείο Τουρισμού</t>
  </si>
  <si>
    <t>Εθνικό Τυπογραφείο</t>
  </si>
  <si>
    <t>Διαχειριστής Ελληνικού Δικτύου Διανομής Ηλεκτρικής Ενέργειας (ΔΕΔΔΗΕ)</t>
  </si>
  <si>
    <t>Αποφοίτηση από σχολείο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</si>
</sst>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ports_31-08-2022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54"/>
  <sheetViews>
    <sheetView tabSelected="1" topLeftCell="A13" workbookViewId="0">
      <selection activeCell="F25" sqref="F1:F1048576"/>
    </sheetView>
  </sheetViews>
  <sheetFormatPr defaultRowHeight="15" x14ac:dyDescent="0.25"/>
  <cols>
    <col min="1" max="1" width="6" bestFit="1" customWidth="1"/>
    <col min="2" max="2" width="35.7109375" bestFit="1" customWidth="1"/>
    <col min="3" max="3" width="67.42578125" bestFit="1" customWidth="1"/>
    <col min="4" max="5" width="81.140625" bestFit="1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16131</v>
      </c>
      <c r="B2" t="s">
        <v>27</v>
      </c>
      <c r="C2" t="s">
        <v>33</v>
      </c>
      <c r="D2" t="str">
        <f>HYPERLINK("Https://www.gov.gr/ipiresies/georgia-kai-ktenotrophia/alieia/adeia-diorganoses-erasitekhnikou-alieutikou-agona","Άδεια διοργάνωσης ερασιτεχνικού αλιευτικού αγώνα")</f>
        <v>Άδεια διοργάνωσης ερασιτεχνικού αλιευτικού αγώνα</v>
      </c>
      <c r="E2" t="s">
        <v>34</v>
      </c>
    </row>
    <row r="3" spans="1:5" x14ac:dyDescent="0.25">
      <c r="A3">
        <v>16163</v>
      </c>
      <c r="B3" t="s">
        <v>27</v>
      </c>
      <c r="C3" t="s">
        <v>33</v>
      </c>
      <c r="D3" t="str">
        <f>HYPERLINK("Https://www.gov.gr/ipiresies/georgia-kai-ktenotrophia/alieia/aiteseis-gia-themata-alieias","Αιτήσεις για θέματα αλιείας")</f>
        <v>Αιτήσεις για θέματα αλιείας</v>
      </c>
      <c r="E3" t="s">
        <v>31</v>
      </c>
    </row>
    <row r="4" spans="1:5" x14ac:dyDescent="0.25">
      <c r="A4">
        <v>16198</v>
      </c>
      <c r="B4" t="s">
        <v>27</v>
      </c>
      <c r="C4" t="s">
        <v>33</v>
      </c>
      <c r="D4" t="str">
        <f>HYPERLINK("Https://www.gov.gr/ipiresies/georgia-kai-ktenotrophia/alieia/allage-onomatos-epaggelmatikou-alieutikou-skaphous","Αλλαγή ονόματος επαγγελματικού αλιευτικού σκάφους")</f>
        <v>Αλλαγή ονόματος επαγγελματικού αλιευτικού σκάφους</v>
      </c>
      <c r="E4" t="s">
        <v>34</v>
      </c>
    </row>
    <row r="5" spans="1:5" x14ac:dyDescent="0.25">
      <c r="A5">
        <v>16201</v>
      </c>
      <c r="B5" t="s">
        <v>27</v>
      </c>
      <c r="C5" t="s">
        <v>33</v>
      </c>
      <c r="D5" t="str">
        <f>HYPERLINK("Https://www.gov.gr/ipiresies/georgia-kai-ktenotrophia/alieia/anaggelia-dienergeias-alieutikou-tourismou","Αναγγελία διενέργειας αλιευτικού τουρισμού")</f>
        <v>Αναγγελία διενέργειας αλιευτικού τουρισμού</v>
      </c>
      <c r="E5" t="s">
        <v>34</v>
      </c>
    </row>
    <row r="6" spans="1:5" x14ac:dyDescent="0.25">
      <c r="A6">
        <v>16009</v>
      </c>
      <c r="B6" t="s">
        <v>27</v>
      </c>
      <c r="C6" t="s">
        <v>33</v>
      </c>
      <c r="D6" t="str">
        <f>HYPERLINK("Https://www.gov.gr/ipiresies/georgia-kai-ktenotrophia/alieia/arithmos-katakhorises-alieutikou-skaphous","Αριθμός καταχώρισης αλιευτικού σκάφους")</f>
        <v>Αριθμός καταχώρισης αλιευτικού σκάφους</v>
      </c>
      <c r="E6" t="s">
        <v>31</v>
      </c>
    </row>
    <row r="7" spans="1:5" x14ac:dyDescent="0.25">
      <c r="A7">
        <v>16195</v>
      </c>
      <c r="B7" t="s">
        <v>27</v>
      </c>
      <c r="C7" t="s">
        <v>33</v>
      </c>
      <c r="D7" t="str">
        <f>HYPERLINK("Https://www.gov.gr/ipiresies/georgia-kai-ktenotrophia/alieia/ekprothesme-ananeose-adeias-skaphous-epaggelmatikes-alieias","Εκπρόθεσμη ανανέωση άδειας σκάφους επαγγελματικής αλιείας")</f>
        <v>Εκπρόθεσμη ανανέωση άδειας σκάφους επαγγελματικής αλιείας</v>
      </c>
      <c r="E7" t="s">
        <v>34</v>
      </c>
    </row>
    <row r="8" spans="1:5" x14ac:dyDescent="0.25">
      <c r="A8">
        <v>16199</v>
      </c>
      <c r="B8" t="s">
        <v>27</v>
      </c>
      <c r="C8" t="s">
        <v>33</v>
      </c>
      <c r="D8" t="str">
        <f>HYPERLINK("Https://www.gov.gr/ipiresies/georgia-kai-ktenotrophia/alieia/epektase-adeias-skaphous-epaggelmatikes-alieias-me-epiprostheta-ergaleia","Επέκταση άδειας σκάφους επαγγελματικής αλιείας με επιπρόσθετα εργαλεία")</f>
        <v>Επέκταση άδειας σκάφους επαγγελματικής αλιείας με επιπρόσθετα εργαλεία</v>
      </c>
      <c r="E8" t="s">
        <v>34</v>
      </c>
    </row>
    <row r="9" spans="1:5" x14ac:dyDescent="0.25">
      <c r="A9">
        <v>16132</v>
      </c>
      <c r="B9" t="s">
        <v>27</v>
      </c>
      <c r="C9" t="s">
        <v>33</v>
      </c>
      <c r="D9" t="str">
        <f>HYPERLINK("Https://www.gov.gr/ipiresies/georgia-kai-ktenotrophia/alieia/kodikos-ploioktete-alieutikou-skaphous-sto-olokleromeno-sustema-parakoloutheses-kai-katagraphes-alieutikon-drasterioteton-ospa","Κωδικός πλοιοκτήτη αλιευτικού σκάφους στο Ολοκληρωμένο Σύστημα Παρακολούθησης και Καταγραφής Αλιευτικών Δραστηριοτήτων (ΟΣΠΑ)")</f>
        <v>Κωδικός πλοιοκτήτη αλιευτικού σκάφους στο Ολοκληρωμένο Σύστημα Παρακολούθησης και Καταγραφής Αλιευτικών Δραστηριοτήτων (ΟΣΠΑ)</v>
      </c>
      <c r="E9" t="s">
        <v>31</v>
      </c>
    </row>
    <row r="10" spans="1:5" x14ac:dyDescent="0.25">
      <c r="A10">
        <v>16196</v>
      </c>
      <c r="B10" t="s">
        <v>27</v>
      </c>
      <c r="C10" t="s">
        <v>33</v>
      </c>
      <c r="D10" t="str">
        <f>HYPERLINK("Https://www.gov.gr/ipiresies/georgia-kai-ktenotrophia/alieia/metabibase-kuriotetas-skaphous-epaggelmatikes-alieias","Μεταβίβαση κυριότητας σκάφους επαγγελματικής αλιείας")</f>
        <v>Μεταβίβαση κυριότητας σκάφους επαγγελματικής αλιείας</v>
      </c>
      <c r="E10" t="s">
        <v>34</v>
      </c>
    </row>
    <row r="11" spans="1:5" x14ac:dyDescent="0.25">
      <c r="A11">
        <v>16197</v>
      </c>
      <c r="B11" t="s">
        <v>27</v>
      </c>
      <c r="C11" t="s">
        <v>33</v>
      </c>
      <c r="D11" t="str">
        <f>HYPERLINK("Https://www.gov.gr/ipiresies/georgia-kai-ktenotrophia/alieia/metagraphe-metaneologese-metalembologese-epaggelmatikou-alieutikou-skaphous","Μεταγραφή (μετανηολόγηση /μεταλεμβολόγηση) επαγγελματικού αλιευτικού σκάφους")</f>
        <v>Μεταγραφή (μετανηολόγηση /μεταλεμβολόγηση) επαγγελματικού αλιευτικού σκάφους</v>
      </c>
      <c r="E11" t="s">
        <v>34</v>
      </c>
    </row>
    <row r="12" spans="1:5" x14ac:dyDescent="0.25">
      <c r="A12">
        <v>16194</v>
      </c>
      <c r="B12" t="s">
        <v>27</v>
      </c>
      <c r="C12" t="s">
        <v>33</v>
      </c>
      <c r="D12" t="str">
        <f>HYPERLINK("Https://www.gov.gr/ipiresies/georgia-kai-ktenotrophia/alieia/sumphone-gnome-metabibases-epaggelmatikou-alieutikou-skaphous","Σύμφωνη γνώμη μεταβίβασης επαγγελματικού αλιευτικού σκάφους")</f>
        <v>Σύμφωνη γνώμη μεταβίβασης επαγγελματικού αλιευτικού σκάφους</v>
      </c>
      <c r="E12" t="s">
        <v>34</v>
      </c>
    </row>
    <row r="13" spans="1:5" x14ac:dyDescent="0.25">
      <c r="A13">
        <v>16200</v>
      </c>
      <c r="B13" t="s">
        <v>27</v>
      </c>
      <c r="C13" t="s">
        <v>33</v>
      </c>
      <c r="D13" t="str">
        <f>HYPERLINK("Https://www.gov.gr/ipiresies/georgia-kai-ktenotrophia/alieia/sumphone-gnome-khoregeses-adeias-alieias-eruthrou-tonou","Σύμφωνη γνώμη χορήγησης άδειας αλιείας ερυθρού τόνου")</f>
        <v>Σύμφωνη γνώμη χορήγησης άδειας αλιείας ερυθρού τόνου</v>
      </c>
      <c r="E13" t="s">
        <v>34</v>
      </c>
    </row>
    <row r="14" spans="1:5" x14ac:dyDescent="0.25">
      <c r="A14">
        <v>15684</v>
      </c>
      <c r="B14" t="s">
        <v>27</v>
      </c>
      <c r="C14" t="s">
        <v>103</v>
      </c>
      <c r="D14" t="str">
        <f>HYPERLINK("Https://www.gov.gr/ipiresies/georgia-kai-ktenotrophia/asphalise-georgikes-paragoges/analuse-amoibon-antapokrite-elga","Ανάλυση αμοιβών ανταποκριτή ΕΛΓΑ")</f>
        <v>Ανάλυση αμοιβών ανταποκριτή ΕΛΓΑ</v>
      </c>
      <c r="E14" t="s">
        <v>104</v>
      </c>
    </row>
    <row r="15" spans="1:5" x14ac:dyDescent="0.25">
      <c r="A15">
        <v>15674</v>
      </c>
      <c r="B15" t="s">
        <v>27</v>
      </c>
      <c r="C15" t="s">
        <v>103</v>
      </c>
      <c r="D15" t="str">
        <f>HYPERLINK("Https://www.gov.gr/ipiresies/georgia-kai-ktenotrophia/asphalise-georgikes-paragoges/analuse-kataboles-asphalistikon-eisphoron-elga","Ανάλυση καταβολής ασφαλιστικών εισφορών ΕΛΓΑ")</f>
        <v>Ανάλυση καταβολής ασφαλιστικών εισφορών ΕΛΓΑ</v>
      </c>
      <c r="E15" t="s">
        <v>104</v>
      </c>
    </row>
    <row r="16" spans="1:5" x14ac:dyDescent="0.25">
      <c r="A16">
        <v>15673</v>
      </c>
      <c r="B16" t="s">
        <v>27</v>
      </c>
      <c r="C16" t="s">
        <v>103</v>
      </c>
      <c r="D16" t="str">
        <f>HYPERLINK("Https://www.gov.gr/ipiresies/georgia-kai-ktenotrophia/asphalise-georgikes-paragoges/asphalistike-enemeroteta-elga","Ασφαλιστική ενημερότητα ΕΛΓΑ")</f>
        <v>Ασφαλιστική ενημερότητα ΕΛΓΑ</v>
      </c>
      <c r="E16" t="s">
        <v>104</v>
      </c>
    </row>
    <row r="17" spans="1:5" x14ac:dyDescent="0.25">
      <c r="A17">
        <v>15682</v>
      </c>
      <c r="B17" t="s">
        <v>27</v>
      </c>
      <c r="C17" t="s">
        <v>103</v>
      </c>
      <c r="D17" t="str">
        <f>HYPERLINK("Https://www.gov.gr/ipiresies/georgia-kai-ktenotrophia/asphalise-georgikes-paragoges/bebaiose-apodokhon-antapokrite-elga","Βεβαίωση αποδοχών ανταποκριτή ΕΛΓΑ")</f>
        <v>Βεβαίωση αποδοχών ανταποκριτή ΕΛΓΑ</v>
      </c>
      <c r="E17" t="s">
        <v>104</v>
      </c>
    </row>
    <row r="18" spans="1:5" x14ac:dyDescent="0.25">
      <c r="A18">
        <v>15681</v>
      </c>
      <c r="B18" t="s">
        <v>27</v>
      </c>
      <c r="C18" t="s">
        <v>103</v>
      </c>
      <c r="D18" t="str">
        <f>HYPERLINK("Https://www.gov.gr/ipiresies/georgia-kai-ktenotrophia/asphalise-georgikes-paragoges/bebaiose-apodokhon-melous-ds-elga-geotekhnikon-demosiou","Βεβαίωση αποδοχών μέλους ΔΣ ΕΛΓΑ / Γεωτεχνικών Δημοσίου")</f>
        <v>Βεβαίωση αποδοχών μέλους ΔΣ ΕΛΓΑ / Γεωτεχνικών Δημοσίου</v>
      </c>
      <c r="E18" t="s">
        <v>104</v>
      </c>
    </row>
    <row r="19" spans="1:5" x14ac:dyDescent="0.25">
      <c r="A19">
        <v>15683</v>
      </c>
      <c r="B19" t="s">
        <v>27</v>
      </c>
      <c r="C19" t="s">
        <v>103</v>
      </c>
      <c r="D19" t="str">
        <f>HYPERLINK("Https://www.gov.gr/ipiresies/georgia-kai-ktenotrophia/asphalise-georgikes-paragoges/bebaiose-apodokhon-oriodeikte-elga","Βεβαίωση αποδοχών οριοδείκτη ΕΛΓΑ")</f>
        <v>Βεβαίωση αποδοχών οριοδείκτη ΕΛΓΑ</v>
      </c>
      <c r="E19" t="s">
        <v>104</v>
      </c>
    </row>
    <row r="20" spans="1:5" x14ac:dyDescent="0.25">
      <c r="A20">
        <v>15680</v>
      </c>
      <c r="B20" t="s">
        <v>27</v>
      </c>
      <c r="C20" t="s">
        <v>103</v>
      </c>
      <c r="D20" t="str">
        <f>HYPERLINK("Https://www.gov.gr/ipiresies/georgia-kai-ktenotrophia/asphalise-georgikes-paragoges/bebaiose-apodokhon-taktikou-epokhikou-prosopikou-elga","Βεβαίωση αποδοχών τακτικού / εποχικού προσωπικού ΕΛΓΑ")</f>
        <v>Βεβαίωση αποδοχών τακτικού / εποχικού προσωπικού ΕΛΓΑ</v>
      </c>
      <c r="E20" t="s">
        <v>104</v>
      </c>
    </row>
    <row r="21" spans="1:5" x14ac:dyDescent="0.25">
      <c r="A21">
        <v>15676</v>
      </c>
      <c r="B21" t="s">
        <v>27</v>
      </c>
      <c r="C21" t="s">
        <v>103</v>
      </c>
      <c r="D21" t="str">
        <f>HYPERLINK("Https://www.gov.gr/ipiresies/georgia-kai-ktenotrophia/asphalise-georgikes-paragoges/bebaiose-kataboles-apozemioseon-elga-kratikon-oikonomikon-eniskhuseon-koe","Βεβαίωση καταβολής αποζημιώσεων ΕΛΓΑ / Κρατικών Οικονομικών Ενισχύσεων (ΚΟΕ)")</f>
        <v>Βεβαίωση καταβολής αποζημιώσεων ΕΛΓΑ / Κρατικών Οικονομικών Ενισχύσεων (ΚΟΕ)</v>
      </c>
      <c r="E21" t="s">
        <v>104</v>
      </c>
    </row>
    <row r="22" spans="1:5" x14ac:dyDescent="0.25">
      <c r="A22">
        <v>15678</v>
      </c>
      <c r="B22" t="s">
        <v>27</v>
      </c>
      <c r="C22" t="s">
        <v>103</v>
      </c>
      <c r="D22" t="str">
        <f>HYPERLINK("Https://www.gov.gr/ipiresies/georgia-kai-ktenotrophia/asphalise-georgikes-paragoges/bebaiose-kataboles-apozemioseon-zoikou-kephalaiou-elga","Βεβαίωση καταβολής αποζημιώσεων ζωικού κεφαλαίου ΕΛΓΑ")</f>
        <v>Βεβαίωση καταβολής αποζημιώσεων ζωικού κεφαλαίου ΕΛΓΑ</v>
      </c>
      <c r="E22" t="s">
        <v>104</v>
      </c>
    </row>
    <row r="23" spans="1:5" x14ac:dyDescent="0.25">
      <c r="A23">
        <v>15677</v>
      </c>
      <c r="B23" t="s">
        <v>27</v>
      </c>
      <c r="C23" t="s">
        <v>103</v>
      </c>
      <c r="D23" t="str">
        <f>HYPERLINK("Https://www.gov.gr/ipiresies/georgia-kai-ktenotrophia/asphalise-georgikes-paragoges/bebaiose-kataboles-apozemioseon-phutikes-paragoges-elga","Βεβαίωση καταβολής αποζημιώσεων φυτικής παραγωγής ΕΛΓΑ")</f>
        <v>Βεβαίωση καταβολής αποζημιώσεων φυτικής παραγωγής ΕΛΓΑ</v>
      </c>
      <c r="E23" t="s">
        <v>104</v>
      </c>
    </row>
    <row r="24" spans="1:5" x14ac:dyDescent="0.25">
      <c r="A24">
        <v>15672</v>
      </c>
      <c r="B24" t="s">
        <v>27</v>
      </c>
      <c r="C24" t="s">
        <v>103</v>
      </c>
      <c r="D24" t="str">
        <f>HYPERLINK("Https://www.gov.gr/ipiresies/georgia-kai-ktenotrophia/asphalise-georgikes-paragoges/bebaiose-kataboles-eisphoron-elga","Βεβαίωση καταβολής εισφορών ΕΛΓΑ")</f>
        <v>Βεβαίωση καταβολής εισφορών ΕΛΓΑ</v>
      </c>
      <c r="E24" t="s">
        <v>104</v>
      </c>
    </row>
    <row r="25" spans="1:5" x14ac:dyDescent="0.25">
      <c r="A25">
        <v>15675</v>
      </c>
      <c r="B25" t="s">
        <v>27</v>
      </c>
      <c r="C25" t="s">
        <v>103</v>
      </c>
      <c r="D25" t="str">
        <f>HYPERLINK("Https://www.gov.gr/ipiresies/georgia-kai-ktenotrophia/asphalise-georgikes-paragoges/eniaia-delose-kalliergeias-ektrophes-dke","Ενιαία Δήλωση Καλλιέργειας / Εκτροφής (ΔΚΕ)")</f>
        <v>Ενιαία Δήλωση Καλλιέργειας / Εκτροφής (ΔΚΕ)</v>
      </c>
      <c r="E25" t="s">
        <v>104</v>
      </c>
    </row>
    <row r="26" spans="1:5" x14ac:dyDescent="0.25">
      <c r="A26">
        <v>15679</v>
      </c>
      <c r="B26" t="s">
        <v>27</v>
      </c>
      <c r="C26" t="s">
        <v>103</v>
      </c>
      <c r="D26" t="str">
        <f>HYPERLINK("Https://www.gov.gr/ipiresies/georgia-kai-ktenotrophia/asphalise-georgikes-paragoges/koinopoiese-porismaton-phutikes-paragoges-elga","Κοινοποίηση πορισμάτων φυτικής παραγωγής ΕΛΓΑ")</f>
        <v>Κοινοποίηση πορισμάτων φυτικής παραγωγής ΕΛΓΑ</v>
      </c>
      <c r="E26" t="s">
        <v>104</v>
      </c>
    </row>
    <row r="27" spans="1:5" x14ac:dyDescent="0.25">
      <c r="A27">
        <v>16193</v>
      </c>
      <c r="B27" t="s">
        <v>27</v>
      </c>
      <c r="C27" t="s">
        <v>36</v>
      </c>
      <c r="D27" t="str">
        <f>HYPERLINK("Https://www.gov.gr/ipiresies/georgia-kai-ktenotrophia/georgia/adeia-kuklophorias-kai-pinakides-agrotikon-mekhanematon","Άδεια κυκλοφορίας και πινακίδες αγροτικών μηχανημάτων")</f>
        <v>Άδεια κυκλοφορίας και πινακίδες αγροτικών μηχανημάτων</v>
      </c>
      <c r="E27" t="s">
        <v>34</v>
      </c>
    </row>
    <row r="28" spans="1:5" x14ac:dyDescent="0.25">
      <c r="A28">
        <v>16012</v>
      </c>
      <c r="B28" t="s">
        <v>27</v>
      </c>
      <c r="C28" t="s">
        <v>36</v>
      </c>
      <c r="D28" t="str">
        <f>HYPERLINK("Https://www.gov.gr/ipiresies/georgia-kai-ktenotrophia/georgia/adeia-odegeses-kai-ptukhia-kheiriste-georgikon-mekhanematon","Άδεια οδήγησης και πτυχία χειριστή γεωργικών μηχανημάτων")</f>
        <v>Άδεια οδήγησης και πτυχία χειριστή γεωργικών μηχανημάτων</v>
      </c>
      <c r="E28" t="s">
        <v>31</v>
      </c>
    </row>
    <row r="29" spans="1:5" x14ac:dyDescent="0.25">
      <c r="A29">
        <v>15202</v>
      </c>
      <c r="B29" t="s">
        <v>27</v>
      </c>
      <c r="C29" t="s">
        <v>36</v>
      </c>
      <c r="D29" t="str">
        <f>HYPERLINK("Https://www.gov.gr/ipiresies/georgia-kai-ktenotrophia/georgia/adeia-phuteuses-oinopoiesimon-poikilion-ampelou","Άδεια φύτευσης οινοποιήσιμων ποικιλιών αμπέλου")</f>
        <v>Άδεια φύτευσης οινοποιήσιμων ποικιλιών αμπέλου</v>
      </c>
      <c r="E29" t="s">
        <v>22</v>
      </c>
    </row>
    <row r="30" spans="1:5" x14ac:dyDescent="0.25">
      <c r="A30">
        <v>16190</v>
      </c>
      <c r="B30" t="s">
        <v>27</v>
      </c>
      <c r="C30" t="s">
        <v>36</v>
      </c>
      <c r="D30" t="str">
        <f>HYPERLINK("Https://www.gov.gr/ipiresies/georgia-kai-ktenotrophia/georgia/adeia-khreses-me-biologikou-sporou-sten-biologike-georgia","Άδεια χρήσης μη βιολογικού σπόρου στην βιολογική γεωργία")</f>
        <v>Άδεια χρήσης μη βιολογικού σπόρου στην βιολογική γεωργία</v>
      </c>
      <c r="E30" t="s">
        <v>34</v>
      </c>
    </row>
    <row r="31" spans="1:5" x14ac:dyDescent="0.25">
      <c r="A31">
        <v>16164</v>
      </c>
      <c r="B31" t="s">
        <v>27</v>
      </c>
      <c r="C31" t="s">
        <v>36</v>
      </c>
      <c r="D31" t="str">
        <f>HYPERLINK("Https://www.gov.gr/ipiresies/georgia-kai-ktenotrophia/georgia/aiteseis-gia-themata-topographias-epoikismou-kai-anadasmou","Αιτήσεις για θέματα τοπογραφίας εποικισμού και αναδασμού")</f>
        <v>Αιτήσεις για θέματα τοπογραφίας εποικισμού και αναδασμού</v>
      </c>
      <c r="E31" t="s">
        <v>31</v>
      </c>
    </row>
    <row r="32" spans="1:5" x14ac:dyDescent="0.25">
      <c r="A32">
        <v>15201</v>
      </c>
      <c r="B32" t="s">
        <v>27</v>
      </c>
      <c r="C32" t="s">
        <v>36</v>
      </c>
      <c r="D32" t="str">
        <f>HYPERLINK("Https://www.gov.gr/ipiresies/georgia-kai-ktenotrophia/georgia/aiteseis-epikheiresiakon-programmaton-tameion-omadon-paragogon","Αιτήσεις Επιχειρησιακών Προγραμμάτων / Ταμείων ομάδων παραγωγών")</f>
        <v>Αιτήσεις Επιχειρησιακών Προγραμμάτων / Ταμείων ομάδων παραγωγών</v>
      </c>
      <c r="E32" t="s">
        <v>22</v>
      </c>
    </row>
    <row r="33" spans="1:5" x14ac:dyDescent="0.25">
      <c r="A33">
        <v>16744</v>
      </c>
      <c r="B33" t="s">
        <v>27</v>
      </c>
      <c r="C33" t="s">
        <v>36</v>
      </c>
      <c r="D33" t="str">
        <f>HYPERLINK("Https://www.gov.gr/ipiresies/georgia-kai-ktenotrophia/georgia/aitese-emporias-sporon-sporas","Αίτηση άδειας εμπορίας σπόρων σποράς ποικιλιών για τις οποίες έχει υποβληθεί αίτηση εγγραφής σε αντίστοιχο κατάλογο ενός τουλάχιστον κράτους μέλους")</f>
        <v>Αίτηση άδειας εμπορίας σπόρων σποράς ποικιλιών για τις οποίες έχει υποβληθεί αίτηση εγγραφής σε αντίστοιχο κατάλογο ενός τουλάχιστον κράτους μέλους</v>
      </c>
      <c r="E33" t="s">
        <v>22</v>
      </c>
    </row>
    <row r="34" spans="1:5" x14ac:dyDescent="0.25">
      <c r="A34">
        <v>16743</v>
      </c>
      <c r="B34" t="s">
        <v>27</v>
      </c>
      <c r="C34" t="s">
        <v>36</v>
      </c>
      <c r="D34" t="str">
        <f>HYPERLINK("Https://www.gov.gr/ipiresies/georgia-kai-ktenotrophia/georgia/aitese-egkrises-anaparagoges-poikilias-kal-kon-phuton-me-eggegrammenon-ston-ethniko-katalogo","Αίτηση έγκρισης αναπαραγωγής ποικιλίας καλ/κών φυτών μη εγγεγραμμένων στον Εθνικό κατάλογο")</f>
        <v>Αίτηση έγκρισης αναπαραγωγής ποικιλίας καλ/κών φυτών μη εγγεγραμμένων στον Εθνικό κατάλογο</v>
      </c>
      <c r="E34" t="s">
        <v>22</v>
      </c>
    </row>
    <row r="35" spans="1:5" x14ac:dyDescent="0.25">
      <c r="A35">
        <v>16483</v>
      </c>
      <c r="B35" t="s">
        <v>27</v>
      </c>
      <c r="C35" t="s">
        <v>36</v>
      </c>
      <c r="D35" t="str">
        <f>HYPERLINK("Https://www.gov.gr/ipiresies/georgia-kai-ktenotrophia/georgia/aitese-egkrises-eisagoges-pollaplasiastikou-ulikou-apo-trites-khores","Αίτηση έγκρισης εισαγωγής πολλαπλασιαστικού υλικού από τρίτες χώρες")</f>
        <v>Αίτηση έγκρισης εισαγωγής πολλαπλασιαστικού υλικού από τρίτες χώρες</v>
      </c>
      <c r="E35" t="s">
        <v>22</v>
      </c>
    </row>
    <row r="36" spans="1:5" x14ac:dyDescent="0.25">
      <c r="A36">
        <v>16742</v>
      </c>
      <c r="B36" t="s">
        <v>27</v>
      </c>
      <c r="C36" t="s">
        <v>36</v>
      </c>
      <c r="D36" t="str">
        <f>HYPERLINK("Https://www.gov.gr/ipiresies/georgia-kai-ktenotrophia/georgia/aitese-egkrises-endokoinotikes-apokteses-pollaplasiastikou-ulikou-gia-phutika-eide","Αίτηση έγκρισης ενδοκοινοτικής απόκτησης πολλαπλασιαστικού υλικού (για φυτικά είδη και ποικιλίες τα οποία δεν είναι εγγεγραμμένα/νες στον εθνικό κατάλογο ή στους κοινούς καταλόγους της ΕΕ)")</f>
        <v>Αίτηση έγκρισης ενδοκοινοτικής απόκτησης πολλαπλασιαστικού υλικού (για φυτικά είδη και ποικιλίες τα οποία δεν είναι εγγεγραμμένα/νες στον εθνικό κατάλογο ή στους κοινούς καταλόγους της ΕΕ)</v>
      </c>
      <c r="E36" t="s">
        <v>22</v>
      </c>
    </row>
    <row r="37" spans="1:5" x14ac:dyDescent="0.25">
      <c r="A37">
        <v>16763</v>
      </c>
      <c r="B37" t="s">
        <v>27</v>
      </c>
      <c r="C37" t="s">
        <v>36</v>
      </c>
      <c r="D37" t="str">
        <f>HYPERLINK("Https://www.gov.gr/ipiresies/georgia-kai-ktenotrophia/georgia/aitese-entaxes-sto-programma-anadiarthroses-metatropes-ampelonon","Αίτηση ένταξης στο Πρόγραμμα Αναδιάρθρωσης &amp; Μετατροπής αμπελώνων")</f>
        <v>Αίτηση ένταξης στο Πρόγραμμα Αναδιάρθρωσης &amp; Μετατροπής αμπελώνων</v>
      </c>
      <c r="E37" t="s">
        <v>22</v>
      </c>
    </row>
    <row r="38" spans="1:5" x14ac:dyDescent="0.25">
      <c r="A38">
        <v>16154</v>
      </c>
      <c r="B38" t="s">
        <v>27</v>
      </c>
      <c r="C38" t="s">
        <v>36</v>
      </c>
      <c r="D38" t="str">
        <f>HYPERLINK("Https://www.gov.gr/ipiresies/georgia-kai-ktenotrophia/georgia/ampelourgiko-metroo","Αμπελουργικό μητρώο")</f>
        <v>Αμπελουργικό μητρώο</v>
      </c>
      <c r="E38" t="s">
        <v>31</v>
      </c>
    </row>
    <row r="39" spans="1:5" x14ac:dyDescent="0.25">
      <c r="A39">
        <v>16129</v>
      </c>
      <c r="B39" t="s">
        <v>27</v>
      </c>
      <c r="C39" t="s">
        <v>36</v>
      </c>
      <c r="D39" t="str">
        <f>HYPERLINK("Https://www.gov.gr/ipiresies/georgia-kai-ktenotrophia/georgia/anaggelia-enarxes-leitourgias-oinologikou-ergasteriou","Αναγγελία έναρξης λειτουργίας οινολογικού εργαστηρίου")</f>
        <v>Αναγγελία έναρξης λειτουργίας οινολογικού εργαστηρίου</v>
      </c>
      <c r="E39" t="s">
        <v>31</v>
      </c>
    </row>
    <row r="40" spans="1:5" x14ac:dyDescent="0.25">
      <c r="A40">
        <v>16017</v>
      </c>
      <c r="B40" t="s">
        <v>27</v>
      </c>
      <c r="C40" t="s">
        <v>36</v>
      </c>
      <c r="D40" t="str">
        <f>HYPERLINK("Https://www.gov.gr/ipiresies/georgia-kai-ktenotrophia/georgia/anaphuteuse-ampelona","Αναφύτευση αμπελώνα")</f>
        <v>Αναφύτευση αμπελώνα</v>
      </c>
      <c r="E40" t="s">
        <v>31</v>
      </c>
    </row>
    <row r="41" spans="1:5" x14ac:dyDescent="0.25">
      <c r="A41">
        <v>16043</v>
      </c>
      <c r="B41" t="s">
        <v>27</v>
      </c>
      <c r="C41" t="s">
        <v>36</v>
      </c>
      <c r="D41" t="str">
        <f>HYPERLINK("Https://www.gov.gr/ipiresies/georgia-kai-ktenotrophia/georgia/antigrapho-adeias-kuklophorias-georgikou-mekhanematos-logo-apoleias-e-phthoras","Αντίγραφο άδειας κυκλοφορίας γεωργικού μηχανήματος λόγω απώλειας ή φθοράς")</f>
        <v>Αντίγραφο άδειας κυκλοφορίας γεωργικού μηχανήματος λόγω απώλειας ή φθοράς</v>
      </c>
      <c r="E41" t="s">
        <v>31</v>
      </c>
    </row>
    <row r="42" spans="1:5" x14ac:dyDescent="0.25">
      <c r="A42">
        <v>16045</v>
      </c>
      <c r="B42" t="s">
        <v>27</v>
      </c>
      <c r="C42" t="s">
        <v>36</v>
      </c>
      <c r="D42" t="str">
        <f>HYPERLINK("Https://www.gov.gr/ipiresies/georgia-kai-ktenotrophia/georgia/antigrapho-deltiou-taxinomeses-logo-apoleias-e-phthoras","Αντίγραφο δελτίου ταξινόμησης λόγω απώλειας ή φθοράς")</f>
        <v>Αντίγραφο δελτίου ταξινόμησης λόγω απώλειας ή φθοράς</v>
      </c>
      <c r="E42" t="s">
        <v>31</v>
      </c>
    </row>
    <row r="43" spans="1:5" x14ac:dyDescent="0.25">
      <c r="A43">
        <v>16359</v>
      </c>
      <c r="B43" t="s">
        <v>27</v>
      </c>
      <c r="C43" t="s">
        <v>36</v>
      </c>
      <c r="D43" t="str">
        <f>HYPERLINK("Https://www.gov.gr/ipiresies/georgia-kai-ktenotrophia/georgia/apographe-georgias-ktenotrophias-gia-to-etos-2021","Απογραφή γεωργίας – κτηνοτροφίας για το έτος 2021")</f>
        <v>Απογραφή γεωργίας – κτηνοτροφίας για το έτος 2021</v>
      </c>
      <c r="E43" t="s">
        <v>117</v>
      </c>
    </row>
    <row r="44" spans="1:5" x14ac:dyDescent="0.25">
      <c r="A44">
        <v>16016</v>
      </c>
      <c r="B44" t="s">
        <v>27</v>
      </c>
      <c r="C44" t="s">
        <v>36</v>
      </c>
      <c r="D44" t="str">
        <f>HYPERLINK("Https://www.gov.gr/ipiresies/georgia-kai-ktenotrophia/georgia/bebaiose-anagkaiotetas-kataskeues-oikiskou-stegases-antletikou-sugkrotematos-se-pegadi-geotreses","Βεβαίωση αναγκαιότητας κατασκευής οικίσκου στέγασης αντλητικού συγκροτήματος σε πηγάδι γεώτρησης")</f>
        <v>Βεβαίωση αναγκαιότητας κατασκευής οικίσκου στέγασης αντλητικού συγκροτήματος σε πηγάδι γεώτρησης</v>
      </c>
      <c r="E44" t="s">
        <v>31</v>
      </c>
    </row>
    <row r="45" spans="1:5" x14ac:dyDescent="0.25">
      <c r="A45">
        <v>16174</v>
      </c>
      <c r="B45" t="s">
        <v>27</v>
      </c>
      <c r="C45" t="s">
        <v>36</v>
      </c>
      <c r="D45" t="str">
        <f>HYPERLINK("Https://www.gov.gr/ipiresies/georgia-kai-ktenotrophia/georgia/bebaiose-olokleroses-kataskeues-thermokepiou","Βεβαίωση ολοκλήρωσης κατασκευής θερμοκηπίου")</f>
        <v>Βεβαίωση ολοκλήρωσης κατασκευής θερμοκηπίου</v>
      </c>
      <c r="E45" t="s">
        <v>31</v>
      </c>
    </row>
    <row r="46" spans="1:5" x14ac:dyDescent="0.25">
      <c r="A46">
        <v>16746</v>
      </c>
      <c r="B46" t="s">
        <v>27</v>
      </c>
      <c r="C46" t="s">
        <v>36</v>
      </c>
      <c r="D46" t="str">
        <f>HYPERLINK("Https://www.gov.gr/ipiresies/georgia-kai-ktenotrophia/georgia/delose-aphixes-phortiou-pollaplasiastikou-ulikou-apo-krate-mele-tes-ee","Δήλωση άφιξης φορτίου πολλαπλασιαστικού υλικού από κράτη μέλη της ΕΕ (προς ΤΑΑΕ-για φυτικά είδη μη ρυθμιζόμενων βάσει κοινοτικών ή εθνικών διατάξεων)")</f>
        <v>Δήλωση άφιξης φορτίου πολλαπλασιαστικού υλικού από κράτη μέλη της ΕΕ (προς ΤΑΑΕ-για φυτικά είδη μη ρυθμιζόμενων βάσει κοινοτικών ή εθνικών διατάξεων)</v>
      </c>
      <c r="E46" t="s">
        <v>22</v>
      </c>
    </row>
    <row r="47" spans="1:5" x14ac:dyDescent="0.25">
      <c r="A47">
        <v>16747</v>
      </c>
      <c r="B47" t="s">
        <v>27</v>
      </c>
      <c r="C47" t="s">
        <v>36</v>
      </c>
      <c r="D47" t="str">
        <f>HYPERLINK("Https://www.gov.gr/ipiresies/georgia-kai-ktenotrophia/georgia/delose-aphixes-phortiou-pollaplasiastikou-ulikou-apo-krate-mele-tes-ee-khoris-egkrise-endokoinotikes-apokteses","Δήλωση άφιξης φορτίου πολλαπλασιαστικού υλικού από κράτη μέλη της ΕΕ (προς ΤΑΑΕ-για φυτικά είδη ρυθμιζόμενων βάσει κοινοτικών ή εθνικών διατάξεων)")</f>
        <v>Δήλωση άφιξης φορτίου πολλαπλασιαστικού υλικού από κράτη μέλη της ΕΕ (προς ΤΑΑΕ-για φυτικά είδη ρυθμιζόμενων βάσει κοινοτικών ή εθνικών διατάξεων)</v>
      </c>
      <c r="E47" t="s">
        <v>22</v>
      </c>
    </row>
    <row r="48" spans="1:5" x14ac:dyDescent="0.25">
      <c r="A48">
        <v>16484</v>
      </c>
      <c r="B48" t="s">
        <v>27</v>
      </c>
      <c r="C48" t="s">
        <v>36</v>
      </c>
      <c r="D48" t="str">
        <f>HYPERLINK("Https://www.gov.gr/ipiresies/georgia-kai-ktenotrophia/georgia/delose-aphixes-phortiou-pollaplasiastikou-ulikou-apo-trites-khores","Δήλωση άφιξης φορτίου πολλαπλασιαστικού υλικού από τρίτες χώρες (προς ΤΑΑΕ)")</f>
        <v>Δήλωση άφιξης φορτίου πολλαπλασιαστικού υλικού από τρίτες χώρες (προς ΤΑΑΕ)</v>
      </c>
      <c r="E48" t="s">
        <v>22</v>
      </c>
    </row>
    <row r="49" spans="1:5" x14ac:dyDescent="0.25">
      <c r="A49">
        <v>16741</v>
      </c>
      <c r="B49" t="s">
        <v>27</v>
      </c>
      <c r="C49" t="s">
        <v>36</v>
      </c>
      <c r="D49" t="str">
        <f>HYPERLINK("Https://www.gov.gr/ipiresies/georgia-kai-ktenotrophia/georgia/aitese-exagoges-pollaplasiastikou-ulikou","Δήλωση εξαγωγής πολλαπλασιαστικού υλικού")</f>
        <v>Δήλωση εξαγωγής πολλαπλασιαστικού υλικού</v>
      </c>
      <c r="E49" t="s">
        <v>22</v>
      </c>
    </row>
    <row r="50" spans="1:5" x14ac:dyDescent="0.25">
      <c r="A50">
        <v>16745</v>
      </c>
      <c r="B50" t="s">
        <v>27</v>
      </c>
      <c r="C50" t="s">
        <v>36</v>
      </c>
      <c r="D50" t="str">
        <f>HYPERLINK("Https://www.gov.gr/ipiresies/georgia-kai-ktenotrophia/georgia/aitese-gia-prosorine-diasunoriake-parokhe-uperesion-ston-tomea-tou-pollaplasiastikou-ulikou","Δήλωση προσωρινής διασυνοριακής παροχής υπηρεσιών στον τομέα του πολλαπλασιαστικού υλικού")</f>
        <v>Δήλωση προσωρινής διασυνοριακής παροχής υπηρεσιών στον τομέα του πολλαπλασιαστικού υλικού</v>
      </c>
      <c r="E50" t="s">
        <v>22</v>
      </c>
    </row>
    <row r="51" spans="1:5" x14ac:dyDescent="0.25">
      <c r="A51">
        <v>15283</v>
      </c>
      <c r="B51" t="s">
        <v>27</v>
      </c>
      <c r="C51" t="s">
        <v>36</v>
      </c>
      <c r="D51" t="str">
        <f>HYPERLINK("Https://www.gov.gr/ipiresies/georgia-kai-ktenotrophia/georgia/delose-sugkomides-ampelourgikon-proionton","Δήλωση συγκομιδής αμπελουργικών προϊόντων")</f>
        <v>Δήλωση συγκομιδής αμπελουργικών προϊόντων</v>
      </c>
      <c r="E51" t="s">
        <v>22</v>
      </c>
    </row>
    <row r="52" spans="1:5" x14ac:dyDescent="0.25">
      <c r="A52">
        <v>15300</v>
      </c>
      <c r="B52" t="s">
        <v>27</v>
      </c>
      <c r="C52" t="s">
        <v>36</v>
      </c>
      <c r="D52" t="str">
        <f>HYPERLINK("Https://www.gov.gr/ipiresies/georgia-kai-ktenotrophia/georgia/drase-meiose-tes-rupanses-nerou-apo-georgike-drasterioteta-nitrorupanse","Δράση «Μείωση της ρύπανσης νερού από γεωργική δραστηριότητα (Νιτρορύπανση)»")</f>
        <v>Δράση «Μείωση της ρύπανσης νερού από γεωργική δραστηριότητα (Νιτρορύπανση)»</v>
      </c>
      <c r="E52" t="s">
        <v>123</v>
      </c>
    </row>
    <row r="53" spans="1:5" x14ac:dyDescent="0.25">
      <c r="A53">
        <v>16846</v>
      </c>
      <c r="B53" t="s">
        <v>27</v>
      </c>
      <c r="C53" t="s">
        <v>36</v>
      </c>
      <c r="D53" t="str">
        <f>HYPERLINK("Https://www.gov.gr/ipiresies/georgia-kai-ktenotrophia/georgia/egkhoria-paragoge-lipasmaton-ek-prosorina","Εγχώρια παραγωγή λιπασμάτων ΕΚ")</f>
        <v>Εγχώρια παραγωγή λιπασμάτων ΕΚ</v>
      </c>
      <c r="E53" t="s">
        <v>22</v>
      </c>
    </row>
    <row r="54" spans="1:5" x14ac:dyDescent="0.25">
      <c r="A54">
        <v>16840</v>
      </c>
      <c r="B54" t="s">
        <v>27</v>
      </c>
      <c r="C54" t="s">
        <v>36</v>
      </c>
      <c r="D54" t="str">
        <f>HYPERLINK("Https://www.gov.gr/ipiresies/georgia-kai-ktenotrophia/georgia/egkhoria-paragoge-lipasmaton-neou-tupou","Εγχώρια παραγωγή λιπασμάτων νέου τύπου")</f>
        <v>Εγχώρια παραγωγή λιπασμάτων νέου τύπου</v>
      </c>
      <c r="E54" t="s">
        <v>22</v>
      </c>
    </row>
    <row r="55" spans="1:5" x14ac:dyDescent="0.25">
      <c r="A55">
        <v>16837</v>
      </c>
      <c r="B55" t="s">
        <v>27</v>
      </c>
      <c r="C55" t="s">
        <v>36</v>
      </c>
      <c r="D55" t="str">
        <f>HYPERLINK("Https://www.gov.gr/ipiresies/georgia-kai-ktenotrophia/georgia/egkhoria-paragoge-proionton-lipanses-ee-ce","Εγχώρια παραγωγή προϊόντων λίπανσης ΕΕ (CE)")</f>
        <v>Εγχώρια παραγωγή προϊόντων λίπανσης ΕΕ (CE)</v>
      </c>
      <c r="E55" t="s">
        <v>22</v>
      </c>
    </row>
    <row r="56" spans="1:5" x14ac:dyDescent="0.25">
      <c r="A56">
        <v>16843</v>
      </c>
      <c r="B56" t="s">
        <v>27</v>
      </c>
      <c r="C56" t="s">
        <v>36</v>
      </c>
      <c r="D56" t="str">
        <f>HYPERLINK("Https://www.gov.gr/ipiresies/georgia-kai-ktenotrophia/georgia/eisagoge-lipasmatos-e-k-apo-trites-khores-prosorina","Εισαγωγή λιπάσματος ΕΚ από τρίτες χώρες")</f>
        <v>Εισαγωγή λιπάσματος ΕΚ από τρίτες χώρες</v>
      </c>
      <c r="E56" t="s">
        <v>22</v>
      </c>
    </row>
    <row r="57" spans="1:5" x14ac:dyDescent="0.25">
      <c r="A57">
        <v>16838</v>
      </c>
      <c r="B57" t="s">
        <v>27</v>
      </c>
      <c r="C57" t="s">
        <v>36</v>
      </c>
      <c r="D57" t="str">
        <f>HYPERLINK("Https://www.gov.gr/ipiresies/georgia-kai-ktenotrophia/georgia/eisagoge-lipasmatos-neou-tupou-apo-trites-khores","Εισαγωγή λιπάσματος νέου τύπου από τρίτες χώρες")</f>
        <v>Εισαγωγή λιπάσματος νέου τύπου από τρίτες χώρες</v>
      </c>
      <c r="E57" t="s">
        <v>22</v>
      </c>
    </row>
    <row r="58" spans="1:5" x14ac:dyDescent="0.25">
      <c r="A58">
        <v>16835</v>
      </c>
      <c r="B58" t="s">
        <v>27</v>
      </c>
      <c r="C58" t="s">
        <v>36</v>
      </c>
      <c r="D58" t="str">
        <f>HYPERLINK("Https://www.gov.gr/ipiresies/georgia-kai-ktenotrophia/georgia/eisagoge-proionton-lipanses-ee-ce","Εισαγωγή προϊόντων λίπανσης ΕΕ (CE)")</f>
        <v>Εισαγωγή προϊόντων λίπανσης ΕΕ (CE)</v>
      </c>
      <c r="E58" t="s">
        <v>22</v>
      </c>
    </row>
    <row r="59" spans="1:5" x14ac:dyDescent="0.25">
      <c r="A59">
        <v>16841</v>
      </c>
      <c r="B59" t="s">
        <v>27</v>
      </c>
      <c r="C59" t="s">
        <v>36</v>
      </c>
      <c r="D59" t="str">
        <f>HYPERLINK("Https://www.gov.gr/ipiresies/georgia-kai-ktenotrophia/georgia/eisagoge-protes-ules-apo-trites-khores","Εισαγωγή πρώτης ύλης από τρίτες χώρες")</f>
        <v>Εισαγωγή πρώτης ύλης από τρίτες χώρες</v>
      </c>
      <c r="E59" t="s">
        <v>22</v>
      </c>
    </row>
    <row r="60" spans="1:5" x14ac:dyDescent="0.25">
      <c r="A60">
        <v>16155</v>
      </c>
      <c r="B60" t="s">
        <v>27</v>
      </c>
      <c r="C60" t="s">
        <v>36</v>
      </c>
      <c r="D60" t="str">
        <f>HYPERLINK("Https://www.gov.gr/ipiresies/georgia-kai-ktenotrophia/georgia/elaiokomiko-metroo","Ελαιοκομικό μητρώο")</f>
        <v>Ελαιοκομικό μητρώο</v>
      </c>
      <c r="E60" t="s">
        <v>31</v>
      </c>
    </row>
    <row r="61" spans="1:5" x14ac:dyDescent="0.25">
      <c r="A61">
        <v>16839</v>
      </c>
      <c r="B61" t="s">
        <v>27</v>
      </c>
      <c r="C61" t="s">
        <v>36</v>
      </c>
      <c r="D61" t="str">
        <f>HYPERLINK("Https://www.gov.gr/ipiresies/georgia-kai-ktenotrophia/georgia/endoenosiake-apoktese-lipasmatos-neou-tupou","Ενδoενωσιακή απόκτηση λιπάσματος νέου τύπου")</f>
        <v>Ενδoενωσιακή απόκτηση λιπάσματος νέου τύπου</v>
      </c>
      <c r="E61" t="s">
        <v>22</v>
      </c>
    </row>
    <row r="62" spans="1:5" x14ac:dyDescent="0.25">
      <c r="A62">
        <v>16844</v>
      </c>
      <c r="B62" t="s">
        <v>27</v>
      </c>
      <c r="C62" t="s">
        <v>36</v>
      </c>
      <c r="D62" t="str">
        <f>HYPERLINK("Https://www.gov.gr/ipiresies/georgia-kai-ktenotrophia/georgia/endoenosiake-apoktese-lipasmaton-ek-prosorina","Ενδoενωσιακή απόκτηση λιπασμάτων ΕΚ")</f>
        <v>Ενδoενωσιακή απόκτηση λιπασμάτων ΕΚ</v>
      </c>
      <c r="E62" t="s">
        <v>22</v>
      </c>
    </row>
    <row r="63" spans="1:5" x14ac:dyDescent="0.25">
      <c r="A63">
        <v>16842</v>
      </c>
      <c r="B63" t="s">
        <v>27</v>
      </c>
      <c r="C63" t="s">
        <v>36</v>
      </c>
      <c r="D63" t="str">
        <f>HYPERLINK("Https://www.gov.gr/ipiresies/georgia-kai-ktenotrophia/georgia/endoenosiake-apoktese-ules","Ενδoενωσιακή απόκτηση πρώτης ύλης λιπασμάτων")</f>
        <v>Ενδoενωσιακή απόκτηση πρώτης ύλης λιπασμάτων</v>
      </c>
      <c r="E63" t="s">
        <v>22</v>
      </c>
    </row>
    <row r="64" spans="1:5" x14ac:dyDescent="0.25">
      <c r="A64">
        <v>16836</v>
      </c>
      <c r="B64" t="s">
        <v>27</v>
      </c>
      <c r="C64" t="s">
        <v>36</v>
      </c>
      <c r="D64" t="str">
        <f>HYPERLINK("Https://www.gov.gr/ipiresies/georgia-kai-ktenotrophia/georgia/endoenosiake-apoktese-proionton-lipanses-ee","Ενδοενωσιακή απόκτηση προϊόντων λίπανσης ΕΕ (CE)")</f>
        <v>Ενδοενωσιακή απόκτηση προϊόντων λίπανσης ΕΕ (CE)</v>
      </c>
      <c r="E64" t="s">
        <v>22</v>
      </c>
    </row>
    <row r="65" spans="1:5" x14ac:dyDescent="0.25">
      <c r="A65">
        <v>15339</v>
      </c>
      <c r="B65" t="s">
        <v>27</v>
      </c>
      <c r="C65" t="s">
        <v>36</v>
      </c>
      <c r="D65" t="str">
        <f>HYPERLINK("Https://www.gov.gr/ipiresies/georgia-kai-ktenotrophia/georgia/eniaio-metroo-emporon-agrotikon-proionton-ephodion-kai-eisroon-emeapee","Ενιαίο Μητρώο Εμπόρων Αγροτικών Προϊόντων Εφοδίων και Εισροών (ΕΜΕΑΠΕΕ)")</f>
        <v>Ενιαίο Μητρώο Εμπόρων Αγροτικών Προϊόντων Εφοδίων και Εισροών (ΕΜΕΑΠΕΕ)</v>
      </c>
      <c r="E65" t="s">
        <v>22</v>
      </c>
    </row>
    <row r="66" spans="1:5" x14ac:dyDescent="0.25">
      <c r="A66">
        <v>16007</v>
      </c>
      <c r="B66" t="s">
        <v>27</v>
      </c>
      <c r="C66" t="s">
        <v>36</v>
      </c>
      <c r="D66" t="str">
        <f>HYPERLINK("Https://www.gov.gr/ipiresies/georgia-kai-ktenotrophia/georgia/epikairopoiemeno-tropopoiemeno-georgotekhniko-deltio-ktenotrophikes-e-ptenotrophikes-ekmetalleuses","Επικαιροποιημένο / τροποποιημένο γεωργοτεχνικό δελτίο κτηνοτροφικής ή πτηνοτροφικής εκμετάλλευσης")</f>
        <v>Επικαιροποιημένο / τροποποιημένο γεωργοτεχνικό δελτίο κτηνοτροφικής ή πτηνοτροφικής εκμετάλλευσης</v>
      </c>
      <c r="E66" t="s">
        <v>31</v>
      </c>
    </row>
    <row r="67" spans="1:5" x14ac:dyDescent="0.25">
      <c r="A67">
        <v>16005</v>
      </c>
      <c r="B67" t="s">
        <v>27</v>
      </c>
      <c r="C67" t="s">
        <v>36</v>
      </c>
      <c r="D67" t="str">
        <f>HYPERLINK("Https://www.gov.gr/ipiresies/georgia-kai-ktenotrophia/georgia/epikairopoiemeno-tropopoiemeno-georgotekhniko-kai-georgooikonomiko-deltio-elektrodotoumenes-udrolepsias","Επικαιροποιημένο / τροποποιημένο γεωργοτεχνικό και γεωργοοικονομικό δελτίο ηλεκτροδοτούμενης υδροληψίας")</f>
        <v>Επικαιροποιημένο / τροποποιημένο γεωργοτεχνικό και γεωργοοικονομικό δελτίο ηλεκτροδοτούμενης υδροληψίας</v>
      </c>
      <c r="E67" t="s">
        <v>31</v>
      </c>
    </row>
    <row r="68" spans="1:5" x14ac:dyDescent="0.25">
      <c r="A68">
        <v>16044</v>
      </c>
      <c r="B68" t="s">
        <v>27</v>
      </c>
      <c r="C68" t="s">
        <v>36</v>
      </c>
      <c r="D68" t="str">
        <f>HYPERLINK("Https://www.gov.gr/ipiresies/georgia-kai-ktenotrophia/georgia/elektrodotese-thermokepiou","Ηλεκτροδότηση θερμοκηπίου")</f>
        <v>Ηλεκτροδότηση θερμοκηπίου</v>
      </c>
      <c r="E68" t="s">
        <v>31</v>
      </c>
    </row>
    <row r="69" spans="1:5" x14ac:dyDescent="0.25">
      <c r="A69">
        <v>16004</v>
      </c>
      <c r="B69" t="s">
        <v>27</v>
      </c>
      <c r="C69" t="s">
        <v>36</v>
      </c>
      <c r="D69" t="str">
        <f>HYPERLINK("Https://www.gov.gr/ipiresies/georgia-kai-ktenotrophia/georgia/elektrodotese-pegadiou-geotreses","Ηλεκτροδότηση πηγαδιού – γεώτρησης")</f>
        <v>Ηλεκτροδότηση πηγαδιού – γεώτρησης</v>
      </c>
      <c r="E69" t="s">
        <v>41</v>
      </c>
    </row>
    <row r="70" spans="1:5" x14ac:dyDescent="0.25">
      <c r="A70">
        <v>16188</v>
      </c>
      <c r="B70" t="s">
        <v>27</v>
      </c>
      <c r="C70" t="s">
        <v>36</v>
      </c>
      <c r="D70" t="str">
        <f>HYPERLINK("Https://www.gov.gr/ipiresies/georgia-kai-ktenotrophia/georgia/katokhe-elkustera","Κατοχή ελκυστήρα (τρακτέρ)")</f>
        <v>Κατοχή ελκυστήρα (τρακτέρ)</v>
      </c>
      <c r="E70" t="s">
        <v>34</v>
      </c>
    </row>
    <row r="71" spans="1:5" x14ac:dyDescent="0.25">
      <c r="A71">
        <v>16187</v>
      </c>
      <c r="B71" t="s">
        <v>27</v>
      </c>
      <c r="C71" t="s">
        <v>36</v>
      </c>
      <c r="D71" t="str">
        <f>HYPERLINK("Https://www.gov.gr/ipiresies/georgia-kai-ktenotrophia/georgia/metabibase-georgikou-mekhanematos-ektos-nomou","Μεταβίβαση γεωργικού μηχανήματος εκτός νομού")</f>
        <v>Μεταβίβαση γεωργικού μηχανήματος εκτός νομού</v>
      </c>
      <c r="E71" t="s">
        <v>34</v>
      </c>
    </row>
    <row r="72" spans="1:5" x14ac:dyDescent="0.25">
      <c r="A72">
        <v>16186</v>
      </c>
      <c r="B72" t="s">
        <v>27</v>
      </c>
      <c r="C72" t="s">
        <v>36</v>
      </c>
      <c r="D72" t="str">
        <f>HYPERLINK("Https://www.gov.gr/ipiresies/georgia-kai-ktenotrophia/georgia/metabibase-georgikou-mekhanematos-entos-nomou","Μεταβίβαση γεωργικού μηχανήματος εντός νομού")</f>
        <v>Μεταβίβαση γεωργικού μηχανήματος εντός νομού</v>
      </c>
      <c r="E72" t="s">
        <v>34</v>
      </c>
    </row>
    <row r="73" spans="1:5" x14ac:dyDescent="0.25">
      <c r="A73">
        <v>16438</v>
      </c>
      <c r="B73" t="s">
        <v>27</v>
      </c>
      <c r="C73" t="s">
        <v>36</v>
      </c>
      <c r="D73" t="str">
        <f>HYPERLINK("Https://www.gov.gr/ipiresies/georgia-kai-ktenotrophia/georgia/metaklese-polite-trites-khoras-gia-apaskholese-se-agrotikes-ergasies","Μετάκληση πολίτη τρίτης χώρας για απασχόληση σε αγροτικές εργασίες")</f>
        <v>Μετάκληση πολίτη τρίτης χώρας για απασχόληση σε αγροτικές εργασίες</v>
      </c>
      <c r="E73" t="s">
        <v>12</v>
      </c>
    </row>
    <row r="74" spans="1:5" x14ac:dyDescent="0.25">
      <c r="A74">
        <v>15437</v>
      </c>
      <c r="B74" t="s">
        <v>27</v>
      </c>
      <c r="C74" t="s">
        <v>36</v>
      </c>
      <c r="D74" t="str">
        <f>HYPERLINK("Https://www.gov.gr/ipiresies/georgia-kai-ktenotrophia/georgia/metroo-agroton-kai-agrotikon-ekmetalleuseon-maae","Μητρώο Αγροτών και Αγροτικών Εκμεταλλεύσεων (ΜΑΑΕ)")</f>
        <v>Μητρώο Αγροτών και Αγροτικών Εκμεταλλεύσεων (ΜΑΑΕ)</v>
      </c>
      <c r="E74" t="s">
        <v>22</v>
      </c>
    </row>
    <row r="75" spans="1:5" x14ac:dyDescent="0.25">
      <c r="A75">
        <v>15442</v>
      </c>
      <c r="B75" t="s">
        <v>27</v>
      </c>
      <c r="C75" t="s">
        <v>36</v>
      </c>
      <c r="D75" t="str">
        <f>HYPERLINK("Https://www.gov.gr/ipiresies/georgia-kai-ktenotrophia/georgia/metroo-emporon-pollaplasiastikou-ulikou-sporoparagoges","Μητρώο λειτουργίας επιχειρήσεων παραγωγής και εμπορίας πολλαπλασιαστικού υλικού καλλιεργούμενων φυτικών ειδών")</f>
        <v>Μητρώο λειτουργίας επιχειρήσεων παραγωγής και εμπορίας πολλαπλασιαστικού υλικού καλλιεργούμενων φυτικών ειδών</v>
      </c>
      <c r="E75" t="s">
        <v>22</v>
      </c>
    </row>
    <row r="76" spans="1:5" x14ac:dyDescent="0.25">
      <c r="A76">
        <v>15458</v>
      </c>
      <c r="B76" t="s">
        <v>27</v>
      </c>
      <c r="C76" t="s">
        <v>36</v>
      </c>
      <c r="D76" t="str">
        <f>HYPERLINK("Https://www.gov.gr/ipiresies/georgia-kai-ktenotrophia/georgia/misthose-ges","Μίσθωση γης")</f>
        <v>Μίσθωση γης</v>
      </c>
      <c r="E76" t="s">
        <v>22</v>
      </c>
    </row>
    <row r="77" spans="1:5" x14ac:dyDescent="0.25">
      <c r="A77">
        <v>15464</v>
      </c>
      <c r="B77" t="s">
        <v>27</v>
      </c>
      <c r="C77" t="s">
        <v>36</v>
      </c>
      <c r="D77" t="str">
        <f>HYPERLINK("Https://www.gov.gr/ipiresies/georgia-kai-ktenotrophia/georgia/olokleromeno-plerophoriako-sustema-agrotikes-anaptuxes-kai-alieias-opsaa","Ολοκληρωμένο Πληροφοριακό Σύστημα Αγροτικής Ανάπτυξης και Αλιείας (ΟΠΣΑΑ)")</f>
        <v>Ολοκληρωμένο Πληροφοριακό Σύστημα Αγροτικής Ανάπτυξης και Αλιείας (ΟΠΣΑΑ)</v>
      </c>
      <c r="E77" t="s">
        <v>123</v>
      </c>
    </row>
    <row r="78" spans="1:5" x14ac:dyDescent="0.25">
      <c r="A78">
        <v>15467</v>
      </c>
      <c r="B78" t="s">
        <v>27</v>
      </c>
      <c r="C78" t="s">
        <v>36</v>
      </c>
      <c r="D78" t="str">
        <f>HYPERLINK("Https://www.gov.gr/ipiresies/georgia-kai-ktenotrophia/georgia/paradose-bambakos-ton-paragogon-sta-ekkokisteria","Παράδοση βάμβακος των παραγωγών στα εκκοκιστήρια")</f>
        <v>Παράδοση βάμβακος των παραγωγών στα εκκοκιστήρια</v>
      </c>
      <c r="E78" t="s">
        <v>123</v>
      </c>
    </row>
    <row r="79" spans="1:5" x14ac:dyDescent="0.25">
      <c r="A79">
        <v>15474</v>
      </c>
      <c r="B79" t="s">
        <v>27</v>
      </c>
      <c r="C79" t="s">
        <v>36</v>
      </c>
      <c r="D79" t="str">
        <f>HYPERLINK("Https://www.gov.gr/ipiresies/georgia-kai-ktenotrophia/georgia/pistopoiese-anagnorise-kentron-upoboles-deloseon-kud-sto-plaisio-tou-osde","Πιστοποίηση / αναγνώριση Κέντρων Υποβολής Δηλώσεων (ΚΥΔ) στο πλαίσιο του ΟΣΔΕ")</f>
        <v>Πιστοποίηση / αναγνώριση Κέντρων Υποβολής Δηλώσεων (ΚΥΔ) στο πλαίσιο του ΟΣΔΕ</v>
      </c>
      <c r="E79" t="s">
        <v>123</v>
      </c>
    </row>
    <row r="80" spans="1:5" x14ac:dyDescent="0.25">
      <c r="A80">
        <v>16191</v>
      </c>
      <c r="B80" t="s">
        <v>27</v>
      </c>
      <c r="C80" t="s">
        <v>36</v>
      </c>
      <c r="D80" t="str">
        <f>HYPERLINK("Https://www.gov.gr/ipiresies/georgia-kai-ktenotrophia/georgia/pistopoiese-tereses-makrokhronion-upokhreoseon-entagmenon-sta-programmata-neon-georgon","Πιστοποίηση τήρησης μακροχρόνιων υποχρεώσεων ενταγμένων στα προγράμματα Νέων Γεωργών")</f>
        <v>Πιστοποίηση τήρησης μακροχρόνιων υποχρεώσεων ενταγμένων στα προγράμματα Νέων Γεωργών</v>
      </c>
      <c r="E80" t="s">
        <v>34</v>
      </c>
    </row>
    <row r="81" spans="1:5" x14ac:dyDescent="0.25">
      <c r="A81">
        <v>15210</v>
      </c>
      <c r="B81" t="s">
        <v>27</v>
      </c>
      <c r="C81" t="s">
        <v>36</v>
      </c>
      <c r="D81" t="str">
        <f>HYPERLINK("Https://www.gov.gr/ipiresies/georgia-kai-ktenotrophia/georgia/programmata-ergasias-organoseon-elaiourgikon-phoreon-oeph","Προγράμματα εργασίας Οργανώσεων Ελαιουργικών Φορέων (ΟΕΦ)")</f>
        <v>Προγράμματα εργασίας Οργανώσεων Ελαιουργικών Φορέων (ΟΕΦ)</v>
      </c>
      <c r="E81" t="s">
        <v>22</v>
      </c>
    </row>
    <row r="82" spans="1:5" x14ac:dyDescent="0.25">
      <c r="A82">
        <v>15357</v>
      </c>
      <c r="B82" t="s">
        <v>27</v>
      </c>
      <c r="C82" t="s">
        <v>36</v>
      </c>
      <c r="D82" t="str">
        <f>HYPERLINK("Https://www.gov.gr/ipiresies/georgia-kai-ktenotrophia/georgia/sundedemena-kathestota-ameson-eniskhuseon","Συνδεδεμένα καθεστώτα άμεσων ενισχύσεων")</f>
        <v>Συνδεδεμένα καθεστώτα άμεσων ενισχύσεων</v>
      </c>
      <c r="E82" t="s">
        <v>123</v>
      </c>
    </row>
    <row r="83" spans="1:5" x14ac:dyDescent="0.25">
      <c r="A83">
        <v>16189</v>
      </c>
      <c r="B83" t="s">
        <v>27</v>
      </c>
      <c r="C83" t="s">
        <v>36</v>
      </c>
      <c r="D83" t="str">
        <f>HYPERLINK("Https://www.gov.gr/ipiresies/georgia-kai-ktenotrophia/georgia/sunekhise-elektrodoteses-pegadiou-geotreses","Συνέχιση ηλεκτροδότησης πηγαδιού – γεώτρησης")</f>
        <v>Συνέχιση ηλεκτροδότησης πηγαδιού – γεώτρησης</v>
      </c>
      <c r="E83" t="s">
        <v>34</v>
      </c>
    </row>
    <row r="84" spans="1:5" x14ac:dyDescent="0.25">
      <c r="A84">
        <v>16142</v>
      </c>
      <c r="B84" t="s">
        <v>27</v>
      </c>
      <c r="C84" t="s">
        <v>36</v>
      </c>
      <c r="D84" t="str">
        <f>HYPERLINK("Https://www.gov.gr/ipiresies/georgia-kai-ktenotrophia/georgia/suntetagmenes-khorikon-dedomenon","Συντεταγμένες χωρικών δεδομένων")</f>
        <v>Συντεταγμένες χωρικών δεδομένων</v>
      </c>
      <c r="E84" t="s">
        <v>31</v>
      </c>
    </row>
    <row r="85" spans="1:5" x14ac:dyDescent="0.25">
      <c r="A85">
        <v>15562</v>
      </c>
      <c r="B85" t="s">
        <v>27</v>
      </c>
      <c r="C85" t="s">
        <v>36</v>
      </c>
      <c r="D85" t="str">
        <f>HYPERLINK("Https://www.gov.gr/ipiresies/georgia-kai-ktenotrophia/georgia/psekastika-mekhanemata","Ψεκαστικά μηχανήματα")</f>
        <v>Ψεκαστικά μηχανήματα</v>
      </c>
      <c r="E85" t="s">
        <v>22</v>
      </c>
    </row>
    <row r="86" spans="1:5" x14ac:dyDescent="0.25">
      <c r="A86">
        <v>16764</v>
      </c>
      <c r="B86" t="s">
        <v>27</v>
      </c>
      <c r="C86" t="s">
        <v>60</v>
      </c>
      <c r="D86" t="str">
        <f>HYPERLINK("Https://www.gov.gr/ipiresies/georgia-kai-ktenotrophia/georgike-epikheirematikoteta/aitese-eniskhuses-stis-draseis-tou-tameiou-anakampses-kai-anthektikotetas","Αίτηση Ενίσχυσης στις Δράσεις του Ταμείου Ανάκαμψης και Ανθεκτικότητας")</f>
        <v>Αίτηση Ενίσχυσης στις Δράσεις του Ταμείου Ανάκαμψης και Ανθεκτικότητας</v>
      </c>
      <c r="E86" t="s">
        <v>22</v>
      </c>
    </row>
    <row r="87" spans="1:5" x14ac:dyDescent="0.25">
      <c r="A87">
        <v>15213</v>
      </c>
      <c r="B87" t="s">
        <v>27</v>
      </c>
      <c r="C87" t="s">
        <v>60</v>
      </c>
      <c r="D87" t="str">
        <f>HYPERLINK("Https://www.gov.gr/ipiresies/georgia-kai-ktenotrophia/georgike-epikheirematikoteta/aitese-upopsephiou-suntagographou-phutoprostateutikon-proionton","Αίτηση υποψηφίου συνταγογράφου φυτοπροστατευτικών προϊόντων")</f>
        <v>Αίτηση υποψηφίου συνταγογράφου φυτοπροστατευτικών προϊόντων</v>
      </c>
      <c r="E87" t="s">
        <v>22</v>
      </c>
    </row>
    <row r="88" spans="1:5" x14ac:dyDescent="0.25">
      <c r="A88">
        <v>15221</v>
      </c>
      <c r="B88" t="s">
        <v>27</v>
      </c>
      <c r="C88" t="s">
        <v>60</v>
      </c>
      <c r="D88" t="str">
        <f>HYPERLINK("Https://www.gov.gr/ipiresies/georgia-kai-ktenotrophia/georgike-epikheirematikoteta/anaggelia-diakineses-oporokepeutikon","Αναγγελία διακίνησης οπωροκηπευτικών")</f>
        <v>Αναγγελία διακίνησης οπωροκηπευτικών</v>
      </c>
      <c r="E88" t="s">
        <v>22</v>
      </c>
    </row>
    <row r="89" spans="1:5" x14ac:dyDescent="0.25">
      <c r="A89">
        <v>15223</v>
      </c>
      <c r="B89" t="s">
        <v>27</v>
      </c>
      <c r="C89" t="s">
        <v>60</v>
      </c>
      <c r="D89" t="str">
        <f>HYPERLINK("Https://www.gov.gr/ipiresies/georgia-kai-ktenotrophia/georgike-epikheirematikoteta/anaggelia-enarxes-leitourgias-phoreon-khoregeses-pistopoietikou-orthologikes-khreses-georgikon-pharmakon-okhgph","Αναγγελία έναρξης λειτουργίας φορέων χορήγησης πιστοποιητικού Ορθολογικής Χρήσης Γεωργικών Φαρμάκων (ΟΧΓΦ)")</f>
        <v>Αναγγελία έναρξης λειτουργίας φορέων χορήγησης πιστοποιητικού Ορθολογικής Χρήσης Γεωργικών Φαρμάκων (ΟΧΓΦ)</v>
      </c>
      <c r="E89" t="s">
        <v>22</v>
      </c>
    </row>
    <row r="90" spans="1:5" x14ac:dyDescent="0.25">
      <c r="A90">
        <v>15631</v>
      </c>
      <c r="B90" t="s">
        <v>27</v>
      </c>
      <c r="C90" t="s">
        <v>60</v>
      </c>
      <c r="D90" t="str">
        <f>HYPERLINK("Https://www.gov.gr/ipiresies/georgia-kai-ktenotrophia/georgike-epikheirematikoteta/anazetese-diathesimes-paragoges-gia-emporous","Αναζήτηση διαθέσιμης παραγωγής για εμπόρους")</f>
        <v>Αναζήτηση διαθέσιμης παραγωγής για εμπόρους</v>
      </c>
      <c r="E90" t="s">
        <v>22</v>
      </c>
    </row>
    <row r="91" spans="1:5" x14ac:dyDescent="0.25">
      <c r="A91">
        <v>15632</v>
      </c>
      <c r="B91" t="s">
        <v>27</v>
      </c>
      <c r="C91" t="s">
        <v>60</v>
      </c>
      <c r="D91" t="str">
        <f>HYPERLINK("Https://www.gov.gr/ipiresies/georgia-kai-ktenotrophia/georgike-epikheirematikoteta/anazetese-diathesimes-paragoges-gia-katanalotes","Αναζήτηση διαθέσιμης παραγωγής για καταναλωτές")</f>
        <v>Αναζήτηση διαθέσιμης παραγωγής για καταναλωτές</v>
      </c>
      <c r="E91" t="s">
        <v>22</v>
      </c>
    </row>
    <row r="92" spans="1:5" x14ac:dyDescent="0.25">
      <c r="A92">
        <v>15633</v>
      </c>
      <c r="B92" t="s">
        <v>27</v>
      </c>
      <c r="C92" t="s">
        <v>60</v>
      </c>
      <c r="D92" t="str">
        <f>HYPERLINK("Https://www.gov.gr/ipiresies/georgia-kai-ktenotrophia/georgike-epikheirematikoteta/anazetese-theseon-ergasias-ston-agrotodiatrophiko-tomea","Αναζήτηση θέσεων εργασίας στον αγροτοδιατροφικό τομέα")</f>
        <v>Αναζήτηση θέσεων εργασίας στον αγροτοδιατροφικό τομέα</v>
      </c>
      <c r="E92" t="s">
        <v>22</v>
      </c>
    </row>
    <row r="93" spans="1:5" x14ac:dyDescent="0.25">
      <c r="A93">
        <v>15970</v>
      </c>
      <c r="B93" t="s">
        <v>27</v>
      </c>
      <c r="C93" t="s">
        <v>60</v>
      </c>
      <c r="D93" t="str">
        <f>HYPERLINK("Https://www.gov.gr/ipiresies/georgia-kai-ktenotrophia/georgike-epikheirematikoteta/antigrapho-titlou-kuriotetas-oikopedikou-georgikou-titlou","Αντίγραφο τίτλου κυριότητας οικοπεδικού / γεωργικού τίτλου")</f>
        <v>Αντίγραφο τίτλου κυριότητας οικοπεδικού / γεωργικού τίτλου</v>
      </c>
      <c r="E93" t="s">
        <v>31</v>
      </c>
    </row>
    <row r="94" spans="1:5" x14ac:dyDescent="0.25">
      <c r="A94">
        <v>15969</v>
      </c>
      <c r="B94" t="s">
        <v>27</v>
      </c>
      <c r="C94" t="s">
        <v>60</v>
      </c>
      <c r="D94" t="str">
        <f>HYPERLINK("Https://www.gov.gr/ipiresies/georgia-kai-ktenotrophia/georgike-epikheirematikoteta/bebaiose-exaleipses-upothekes-oikopedikou-georgikou-klerou","Βεβαίωση εξάλειψης υποθήκης οικοπεδικού / γεωργικού κλήρου")</f>
        <v>Βεβαίωση εξάλειψης υποθήκης οικοπεδικού / γεωργικού κλήρου</v>
      </c>
      <c r="E94" t="s">
        <v>31</v>
      </c>
    </row>
    <row r="95" spans="1:5" x14ac:dyDescent="0.25">
      <c r="A95">
        <v>15260</v>
      </c>
      <c r="B95" t="s">
        <v>27</v>
      </c>
      <c r="C95" t="s">
        <v>60</v>
      </c>
      <c r="D95" t="str">
        <f>HYPERLINK("Https://www.gov.gr/ipiresies/georgia-kai-ktenotrophia/georgike-epikheirematikoteta/bebaiose-ephorias-gia-posa-epidoteses","Βεβαίωση εφορίας για ποσά επιδότησης")</f>
        <v>Βεβαίωση εφορίας για ποσά επιδότησης</v>
      </c>
      <c r="E95" t="s">
        <v>123</v>
      </c>
    </row>
    <row r="96" spans="1:5" x14ac:dyDescent="0.25">
      <c r="A96">
        <v>15971</v>
      </c>
      <c r="B96" t="s">
        <v>27</v>
      </c>
      <c r="C96" t="s">
        <v>60</v>
      </c>
      <c r="D96" t="str">
        <f>HYPERLINK("Https://www.gov.gr/ipiresies/georgia-kai-ktenotrophia/georgike-epikheirematikoteta/bebaiose-parakhoreses-klerou","Βεβαίωση παραχώρησης κλήρου")</f>
        <v>Βεβαίωση παραχώρησης κλήρου</v>
      </c>
      <c r="E96" t="s">
        <v>31</v>
      </c>
    </row>
    <row r="97" spans="1:5" x14ac:dyDescent="0.25">
      <c r="A97">
        <v>15276</v>
      </c>
      <c r="B97" t="s">
        <v>27</v>
      </c>
      <c r="C97" t="s">
        <v>60</v>
      </c>
      <c r="D97" t="str">
        <f>HYPERLINK("Https://www.gov.gr/ipiresies/georgia-kai-ktenotrophia/georgike-epikheirematikoteta/delose-aktinidiou-pros-tupopoiese-suskeuasia","Δήλωση ακτινιδίου προς τυποποίηση / συσκευασία")</f>
        <v>Δήλωση ακτινιδίου προς τυποποίηση / συσκευασία</v>
      </c>
      <c r="E97" t="s">
        <v>22</v>
      </c>
    </row>
    <row r="98" spans="1:5" x14ac:dyDescent="0.25">
      <c r="A98">
        <v>15288</v>
      </c>
      <c r="B98" t="s">
        <v>27</v>
      </c>
      <c r="C98" t="s">
        <v>60</v>
      </c>
      <c r="D98" t="str">
        <f>HYPERLINK("Https://www.gov.gr/ipiresies/georgia-kai-ktenotrophia/georgike-epikheirematikoteta/demosiopoiese-poson-epidoteses-egte-egtaa","Δημοσιοποίηση ποσών επιδότησης (ΕΓΤΕ/ΕΓΤΑΑ)")</f>
        <v>Δημοσιοποίηση ποσών επιδότησης (ΕΓΤΕ/ΕΓΤΑΑ)</v>
      </c>
      <c r="E98" t="s">
        <v>123</v>
      </c>
    </row>
    <row r="99" spans="1:5" x14ac:dyDescent="0.25">
      <c r="A99">
        <v>15317</v>
      </c>
      <c r="B99" t="s">
        <v>27</v>
      </c>
      <c r="C99" t="s">
        <v>60</v>
      </c>
      <c r="D99" t="str">
        <f>HYPERLINK("Https://www.gov.gr/ipiresies/georgia-kai-ktenotrophia/georgike-epikheirematikoteta/eidopoieteria-ergodoton-agroton-oga","Ειδοποιητήρια εργοδοτών αγροτών (ΟΓΑ)")</f>
        <v>Ειδοποιητήρια εργοδοτών αγροτών (ΟΓΑ)</v>
      </c>
      <c r="E99" t="s">
        <v>132</v>
      </c>
    </row>
    <row r="100" spans="1:5" x14ac:dyDescent="0.25">
      <c r="A100">
        <v>16061</v>
      </c>
      <c r="B100" t="s">
        <v>27</v>
      </c>
      <c r="C100" t="s">
        <v>60</v>
      </c>
      <c r="D100" t="str">
        <f>HYPERLINK("Https://www.gov.gr/ipiresies/georgia-kai-ktenotrophia/georgike-epikheirematikoteta/exagoge-georgikon-proionton-phutikes-proeleuses","Εξαγωγή γεωργικών προϊόντων φυτικής προέλευσης")</f>
        <v>Εξαγωγή γεωργικών προϊόντων φυτικής προέλευσης</v>
      </c>
      <c r="E100" t="s">
        <v>31</v>
      </c>
    </row>
    <row r="101" spans="1:5" x14ac:dyDescent="0.25">
      <c r="A101">
        <v>15297</v>
      </c>
      <c r="B101" t="s">
        <v>27</v>
      </c>
      <c r="C101" t="s">
        <v>60</v>
      </c>
      <c r="D101" t="str">
        <f>HYPERLINK("Https://www.gov.gr/ipiresies/georgia-kai-ktenotrophia/georgike-epikheirematikoteta/exetaseis-khoregeses-pistopoietikou-orthologikes-khreses-georgikon-pharmakon-okhgph","Εξετάσεις χορήγησης πιστοποιητικού Ορθολογικής Χρήσης Γεωργικών Φαρμάκων (ΟΧΓΦ)")</f>
        <v>Εξετάσεις χορήγησης πιστοποιητικού Ορθολογικής Χρήσης Γεωργικών Φαρμάκων (ΟΧΓΦ)</v>
      </c>
      <c r="E101" t="s">
        <v>22</v>
      </c>
    </row>
    <row r="102" spans="1:5" x14ac:dyDescent="0.25">
      <c r="A102">
        <v>16739</v>
      </c>
      <c r="B102" t="s">
        <v>27</v>
      </c>
      <c r="C102" t="s">
        <v>60</v>
      </c>
      <c r="D102" t="str">
        <f>HYPERLINK("Https://www.gov.gr/ipiresies/georgia-kai-ktenotrophia/georgike-epikheirematikoteta/katagraphe-apothematon-georgikon-proionton-kai-trophimon","Καταγραφή αποθεμάτων γεωργικών προϊόντων και τροφίμων")</f>
        <v>Καταγραφή αποθεμάτων γεωργικών προϊόντων και τροφίμων</v>
      </c>
      <c r="E102" t="s">
        <v>74</v>
      </c>
    </row>
    <row r="103" spans="1:5" x14ac:dyDescent="0.25">
      <c r="A103">
        <v>15630</v>
      </c>
      <c r="B103" t="s">
        <v>27</v>
      </c>
      <c r="C103" t="s">
        <v>60</v>
      </c>
      <c r="D103" t="str">
        <f>HYPERLINK("Https://www.gov.gr/ipiresies/georgia-kai-ktenotrophia/georgike-epikheirematikoteta/katakhorise-diathesimes-paragoges-theseon-ergasias","Καταχώριση διαθέσιμης παραγωγής / θέσεων εργασίας")</f>
        <v>Καταχώριση διαθέσιμης παραγωγής / θέσεων εργασίας</v>
      </c>
      <c r="E103" t="s">
        <v>22</v>
      </c>
    </row>
    <row r="104" spans="1:5" x14ac:dyDescent="0.25">
      <c r="A104">
        <v>15789</v>
      </c>
      <c r="B104" t="s">
        <v>27</v>
      </c>
      <c r="C104" t="s">
        <v>60</v>
      </c>
      <c r="D104" t="str">
        <f>HYPERLINK("Https://www.gov.gr/ipiresies/georgia-kai-ktenotrophia/georgike-epikheirematikoteta/praxeis-kharakterismou-dasikon-ektaseon","Πράξεις χαρακτηρισμού δασικών εκτάσεων")</f>
        <v>Πράξεις χαρακτηρισμού δασικών εκτάσεων</v>
      </c>
      <c r="E104" t="s">
        <v>17</v>
      </c>
    </row>
    <row r="105" spans="1:5" x14ac:dyDescent="0.25">
      <c r="A105">
        <v>15488</v>
      </c>
      <c r="B105" t="s">
        <v>27</v>
      </c>
      <c r="C105" t="s">
        <v>60</v>
      </c>
      <c r="D105" t="str">
        <f>HYPERLINK("Https://www.gov.gr/ipiresies/georgia-kai-ktenotrophia/georgike-epikheirematikoteta/polese-phutoprostateutikon-proionton","Πώληση φυτοπροστατευτικών προϊόντων")</f>
        <v>Πώληση φυτοπροστατευτικών προϊόντων</v>
      </c>
      <c r="E105" t="s">
        <v>22</v>
      </c>
    </row>
    <row r="106" spans="1:5" x14ac:dyDescent="0.25">
      <c r="A106">
        <v>15496</v>
      </c>
      <c r="B106" t="s">
        <v>27</v>
      </c>
      <c r="C106" t="s">
        <v>60</v>
      </c>
      <c r="D106" t="str">
        <f>HYPERLINK("Https://www.gov.gr/ipiresies/georgia-kai-ktenotrophia/georgike-epikheirematikoteta/suntagographese-phutoprostateutikon-proionton","Συνταγογράφηση φυτοπροστατευτικών προϊόντων")</f>
        <v>Συνταγογράφηση φυτοπροστατευτικών προϊόντων</v>
      </c>
      <c r="E106" t="s">
        <v>22</v>
      </c>
    </row>
    <row r="107" spans="1:5" x14ac:dyDescent="0.25">
      <c r="A107">
        <v>16001</v>
      </c>
      <c r="B107" t="s">
        <v>27</v>
      </c>
      <c r="C107" t="s">
        <v>35</v>
      </c>
      <c r="D107" t="str">
        <f>HYPERLINK("Https://www.gov.gr/ipiresies/georgia-kai-ktenotrophia/eisagoges-agrotikon-proionton/adeia-eisagoges-zontanon-alieumaton","Άδεια εισαγωγής ζωντανών αλιευμάτων")</f>
        <v>Άδεια εισαγωγής ζωντανών αλιευμάτων</v>
      </c>
      <c r="E107" t="s">
        <v>31</v>
      </c>
    </row>
    <row r="108" spans="1:5" x14ac:dyDescent="0.25">
      <c r="A108">
        <v>16002</v>
      </c>
      <c r="B108" t="s">
        <v>27</v>
      </c>
      <c r="C108" t="s">
        <v>35</v>
      </c>
      <c r="D108" t="str">
        <f>HYPERLINK("Https://www.gov.gr/ipiresies/georgia-kai-ktenotrophia/eisagoges-agrotikon-proionton/adeia-eisagoges-zontanon-zoon-apo-khores-ektos-ee","Άδεια εισαγωγής ζωντανών ζώων από χώρες εκτός ΕΕ")</f>
        <v>Άδεια εισαγωγής ζωντανών ζώων από χώρες εκτός ΕΕ</v>
      </c>
      <c r="E108" t="s">
        <v>31</v>
      </c>
    </row>
    <row r="109" spans="1:5" x14ac:dyDescent="0.25">
      <c r="A109">
        <v>16000</v>
      </c>
      <c r="B109" t="s">
        <v>27</v>
      </c>
      <c r="C109" t="s">
        <v>182</v>
      </c>
      <c r="D109" t="str">
        <f>HYPERLINK("Https://www.gov.gr/ipiresies/georgia-kai-ktenotrophia/exagoges-agrotikon-proionton-kai-zonton-zoon/kteniatriko-ugeionomiko-pistopoietiko-gia-ten-exagoge-zoon","Κτηνιατρικό υγειονομικό πιστοποιητικό για την εξαγωγή ζώων")</f>
        <v>Κτηνιατρικό υγειονομικό πιστοποιητικό για την εξαγωγή ζώων</v>
      </c>
      <c r="E109" t="s">
        <v>31</v>
      </c>
    </row>
    <row r="110" spans="1:5" x14ac:dyDescent="0.25">
      <c r="A110">
        <v>15983</v>
      </c>
      <c r="B110" t="s">
        <v>27</v>
      </c>
      <c r="C110" t="s">
        <v>182</v>
      </c>
      <c r="D110" t="str">
        <f>HYPERLINK("Https://www.gov.gr/ipiresies/georgia-kai-ktenotrophia/exagoges-agrotikon-proionton-kai-zonton-zoon/kteniatriko-ugeionomiko-pistopoietiko-exagoges-ikhthuotrophon","Κτηνιατρικό υγειονομικό πιστοποιητικό εξαγωγής ιχθυοτροφών")</f>
        <v>Κτηνιατρικό υγειονομικό πιστοποιητικό εξαγωγής ιχθυοτροφών</v>
      </c>
      <c r="E110" t="s">
        <v>31</v>
      </c>
    </row>
    <row r="111" spans="1:5" x14ac:dyDescent="0.25">
      <c r="A111">
        <v>16205</v>
      </c>
      <c r="B111" t="s">
        <v>27</v>
      </c>
      <c r="C111" t="s">
        <v>182</v>
      </c>
      <c r="D111" t="str">
        <f>HYPERLINK("Https://www.gov.gr/ipiresies/georgia-kai-ktenotrophia/exagoges-agrotikon-proionton-kai-zonton-zoon/pistopoietiko-exagoges-agriomelisson-se-elegkhomenes-sunthekes-ste-boreia-makedonia","Πιστοποιητικό εξαγωγής αγριομελισσών σε ελεγχόμενες συνθήκες στη Βόρεια Μακεδονία")</f>
        <v>Πιστοποιητικό εξαγωγής αγριομελισσών σε ελεγχόμενες συνθήκες στη Βόρεια Μακεδονία</v>
      </c>
      <c r="E111" t="s">
        <v>22</v>
      </c>
    </row>
    <row r="112" spans="1:5" x14ac:dyDescent="0.25">
      <c r="A112">
        <v>16231</v>
      </c>
      <c r="B112" t="s">
        <v>27</v>
      </c>
      <c r="C112" t="s">
        <v>182</v>
      </c>
      <c r="D112" t="str">
        <f>HYPERLINK("Https://www.gov.gr/ipiresies/georgia-kai-ktenotrophia/exagoges-agrotikon-proionton-kai-zonton-zoon/pistopoietiko-exagoges-aigoprobaton-sphages-ste-boreia-makedonia","Πιστοποιητικό εξαγωγής αιγοπροβάτων σφαγής στη Βόρεια Μακεδονία")</f>
        <v>Πιστοποιητικό εξαγωγής αιγοπροβάτων σφαγής στη Βόρεια Μακεδονία</v>
      </c>
      <c r="E112" t="s">
        <v>22</v>
      </c>
    </row>
    <row r="113" spans="1:5" x14ac:dyDescent="0.25">
      <c r="A113">
        <v>16230</v>
      </c>
      <c r="B113" t="s">
        <v>27</v>
      </c>
      <c r="C113" t="s">
        <v>182</v>
      </c>
      <c r="D113" t="str">
        <f>HYPERLINK("Https://www.gov.gr/ipiresies/georgia-kai-ktenotrophia/exagoges-agrotikon-proionton-kai-zonton-zoon/pistopoietiko-exagoges-aigoprobaton-sphages-sten-albania","Πιστοποιητικό εξαγωγής αιγοπροβάτων σφαγής στην Αλβανία")</f>
        <v>Πιστοποιητικό εξαγωγής αιγοπροβάτων σφαγής στην Αλβανία</v>
      </c>
      <c r="E113" t="s">
        <v>22</v>
      </c>
    </row>
    <row r="114" spans="1:5" x14ac:dyDescent="0.25">
      <c r="A114">
        <v>16256</v>
      </c>
      <c r="B114" t="s">
        <v>27</v>
      </c>
      <c r="C114" t="s">
        <v>182</v>
      </c>
      <c r="D114" t="str">
        <f>HYPERLINK("Https://www.gov.gr/ipiresies/georgia-kai-ktenotrophia/exagoges-agrotikon-proionton-kai-zonton-zoon/pistopoietiko-exagoges-akatergastou-malliou-ste-serbia","Πιστοποιητικό εξαγωγής ακατέργαστου μαλλιού στη Σερβία")</f>
        <v>Πιστοποιητικό εξαγωγής ακατέργαστου μαλλιού στη Σερβία</v>
      </c>
      <c r="E114" t="s">
        <v>22</v>
      </c>
    </row>
    <row r="115" spans="1:5" x14ac:dyDescent="0.25">
      <c r="A115">
        <v>16270</v>
      </c>
      <c r="B115" t="s">
        <v>27</v>
      </c>
      <c r="C115" t="s">
        <v>182</v>
      </c>
      <c r="D115" t="str">
        <f>HYPERLINK("Https://www.gov.gr/ipiresies/georgia-kai-ktenotrophia/exagoges-agrotikon-proionton-kai-zonton-zoon/pistopoietiko-exagoges-akatergaston-doron-dermaton-sten-kina","Πιστοποιητικό εξαγωγής ακατέργαστων δορών / δερμάτων στην Κίνα")</f>
        <v>Πιστοποιητικό εξαγωγής ακατέργαστων δορών / δερμάτων στην Κίνα</v>
      </c>
      <c r="E115" t="s">
        <v>22</v>
      </c>
    </row>
    <row r="116" spans="1:5" x14ac:dyDescent="0.25">
      <c r="A116">
        <v>15915</v>
      </c>
      <c r="B116" t="s">
        <v>27</v>
      </c>
      <c r="C116" t="s">
        <v>182</v>
      </c>
      <c r="D116" t="str">
        <f>HYPERLINK("Https://www.gov.gr/ipiresies/georgia-kai-ktenotrophia/exagoges-agrotikon-proionton-kai-zonton-zoon/pistopoietiko-exagoges-alieumaton-kai-alieutikon-proionton-ste-boreia-makedonia","Πιστοποιητικό εξαγωγής αλιευμάτων και αλιευτικών προϊόντων στη Βόρεια Μακεδονία")</f>
        <v>Πιστοποιητικό εξαγωγής αλιευμάτων και αλιευτικών προϊόντων στη Βόρεια Μακεδονία</v>
      </c>
      <c r="E116" t="s">
        <v>22</v>
      </c>
    </row>
    <row r="117" spans="1:5" x14ac:dyDescent="0.25">
      <c r="A117">
        <v>15927</v>
      </c>
      <c r="B117" t="s">
        <v>27</v>
      </c>
      <c r="C117" t="s">
        <v>182</v>
      </c>
      <c r="D117" t="str">
        <f>HYPERLINK("Https://www.gov.gr/ipiresies/georgia-kai-ktenotrophia/exagoges-agrotikon-proionton-kai-zonton-zoon/pistopoietiko-exagoges-alieumaton-kai-alieutikon-proionton-ste-georgia","Πιστοποιητικό εξαγωγής αλιευμάτων και αλιευτικών προϊόντων στη Γεωργία")</f>
        <v>Πιστοποιητικό εξαγωγής αλιευμάτων και αλιευτικών προϊόντων στη Γεωργία</v>
      </c>
      <c r="E117" t="s">
        <v>22</v>
      </c>
    </row>
    <row r="118" spans="1:5" x14ac:dyDescent="0.25">
      <c r="A118">
        <v>15919</v>
      </c>
      <c r="B118" t="s">
        <v>27</v>
      </c>
      <c r="C118" t="s">
        <v>182</v>
      </c>
      <c r="D118" t="str">
        <f>HYPERLINK("Https://www.gov.gr/ipiresies/georgia-kai-ktenotrophia/exagoges-agrotikon-proionton-kai-zonton-zoon/pistopoietiko-exagoges-alieumaton-kai-alieutikon-proionton-ste-serbia","Πιστοποιητικό εξαγωγής αλιευμάτων και αλιευτικών προϊόντων στη Σερβία")</f>
        <v>Πιστοποιητικό εξαγωγής αλιευμάτων και αλιευτικών προϊόντων στη Σερβία</v>
      </c>
      <c r="E118" t="s">
        <v>22</v>
      </c>
    </row>
    <row r="119" spans="1:5" x14ac:dyDescent="0.25">
      <c r="A119">
        <v>15931</v>
      </c>
      <c r="B119" t="s">
        <v>27</v>
      </c>
      <c r="C119" t="s">
        <v>182</v>
      </c>
      <c r="D119" t="str">
        <f>HYPERLINK("Https://www.gov.gr/ipiresies/georgia-kai-ktenotrophia/exagoges-agrotikon-proionton-kai-zonton-zoon/pistopoietiko-exagoges-alieumaton-kai-alieutikon-proionton-sten-aigupto","Πιστοποιητικό εξαγωγής αλιευμάτων και αλιευτικών προϊόντων στην Αίγυπτο")</f>
        <v>Πιστοποιητικό εξαγωγής αλιευμάτων και αλιευτικών προϊόντων στην Αίγυπτο</v>
      </c>
      <c r="E119" t="s">
        <v>22</v>
      </c>
    </row>
    <row r="120" spans="1:5" x14ac:dyDescent="0.25">
      <c r="A120">
        <v>15906</v>
      </c>
      <c r="B120" t="s">
        <v>27</v>
      </c>
      <c r="C120" t="s">
        <v>182</v>
      </c>
      <c r="D120" t="str">
        <f>HYPERLINK("Https://www.gov.gr/ipiresies/georgia-kai-ktenotrophia/exagoges-agrotikon-proionton-kai-zonton-zoon/pistopoietiko-exagoges-alieumaton-kai-alieutikon-proionton-sten-albania","Πιστοποιητικό εξαγωγής αλιευμάτων και αλιευτικών προϊόντων στην Αλβανία")</f>
        <v>Πιστοποιητικό εξαγωγής αλιευμάτων και αλιευτικών προϊόντων στην Αλβανία</v>
      </c>
      <c r="E120" t="s">
        <v>22</v>
      </c>
    </row>
    <row r="121" spans="1:5" x14ac:dyDescent="0.25">
      <c r="A121">
        <v>15902</v>
      </c>
      <c r="B121" t="s">
        <v>27</v>
      </c>
      <c r="C121" t="s">
        <v>182</v>
      </c>
      <c r="D121" t="str">
        <f>HYPERLINK("Https://www.gov.gr/ipiresies/georgia-kai-ktenotrophia/exagoges-agrotikon-proionton-kai-zonton-zoon/pistopoietiko-exagoges-alieumaton-kai-alieutikon-proionton-sten-australia","Πιστοποιητικό εξαγωγής αλιευμάτων και αλιευτικών προϊόντων στην Αυστραλία")</f>
        <v>Πιστοποιητικό εξαγωγής αλιευμάτων και αλιευτικών προϊόντων στην Αυστραλία</v>
      </c>
      <c r="E121" t="s">
        <v>22</v>
      </c>
    </row>
    <row r="122" spans="1:5" x14ac:dyDescent="0.25">
      <c r="A122">
        <v>15898</v>
      </c>
      <c r="B122" t="s">
        <v>27</v>
      </c>
      <c r="C122" t="s">
        <v>182</v>
      </c>
      <c r="D122" t="str">
        <f>HYPERLINK("Https://www.gov.gr/ipiresies/georgia-kai-ktenotrophia/exagoges-agrotikon-proionton-kai-zonton-zoon/pistopoietiko-exagoges-alieumaton-kai-alieutikon-proionton-stis-enomenes-politeies-amerikes-epa","Πιστοποιητικό εξαγωγής αλιευμάτων και αλιευτικών προϊόντων στις Ηνωμένες Πολιτείες Αμερικής (ΗΠΑ)")</f>
        <v>Πιστοποιητικό εξαγωγής αλιευμάτων και αλιευτικών προϊόντων στις Ηνωμένες Πολιτείες Αμερικής (ΗΠΑ)</v>
      </c>
      <c r="E122" t="s">
        <v>22</v>
      </c>
    </row>
    <row r="123" spans="1:5" x14ac:dyDescent="0.25">
      <c r="A123">
        <v>15910</v>
      </c>
      <c r="B123" t="s">
        <v>27</v>
      </c>
      <c r="C123" t="s">
        <v>182</v>
      </c>
      <c r="D123" t="str">
        <f>HYPERLINK("Https://www.gov.gr/ipiresies/georgia-kai-ktenotrophia/exagoges-agrotikon-proionton-kai-zonton-zoon/pistopoietiko-exagoges-alieumaton-kai-alieutikon-proionton-sto-israel","Πιστοποιητικό εξαγωγής αλιευμάτων και αλιευτικών προϊόντων στο Ισραήλ")</f>
        <v>Πιστοποιητικό εξαγωγής αλιευμάτων και αλιευτικών προϊόντων στο Ισραήλ</v>
      </c>
      <c r="E123" t="s">
        <v>22</v>
      </c>
    </row>
    <row r="124" spans="1:5" x14ac:dyDescent="0.25">
      <c r="A124">
        <v>15917</v>
      </c>
      <c r="B124" t="s">
        <v>27</v>
      </c>
      <c r="C124" t="s">
        <v>182</v>
      </c>
      <c r="D124" t="str">
        <f>HYPERLINK("Https://www.gov.gr/ipiresies/georgia-kai-ktenotrophia/exagoges-agrotikon-proionton-kai-zonton-zoon/pistopoietiko-exagoges-alieumaton-kai-alieutikon-proionton-sto-kosobo","Πιστοποιητικό εξαγωγής αλιευμάτων και αλιευτικών προϊόντων στο Κόσοβο")</f>
        <v>Πιστοποιητικό εξαγωγής αλιευμάτων και αλιευτικών προϊόντων στο Κόσοβο</v>
      </c>
      <c r="E124" t="s">
        <v>22</v>
      </c>
    </row>
    <row r="125" spans="1:5" x14ac:dyDescent="0.25">
      <c r="A125">
        <v>15922</v>
      </c>
      <c r="B125" t="s">
        <v>27</v>
      </c>
      <c r="C125" t="s">
        <v>182</v>
      </c>
      <c r="D125" t="str">
        <f>HYPERLINK("Https://www.gov.gr/ipiresies/georgia-kai-ktenotrophia/exagoges-agrotikon-proionton-kai-zonton-zoon/pistopoietiko-exagoges-alieumaton-kai-alieutikon-proionton-sto-maroko","Πιστοποιητικό εξαγωγής αλιευμάτων και αλιευτικών προϊόντων στο Μαρόκο")</f>
        <v>Πιστοποιητικό εξαγωγής αλιευμάτων και αλιευτικών προϊόντων στο Μαρόκο</v>
      </c>
      <c r="E125" t="s">
        <v>22</v>
      </c>
    </row>
    <row r="126" spans="1:5" x14ac:dyDescent="0.25">
      <c r="A126">
        <v>15924</v>
      </c>
      <c r="B126" t="s">
        <v>27</v>
      </c>
      <c r="C126" t="s">
        <v>182</v>
      </c>
      <c r="D126" t="str">
        <f>HYPERLINK("Https://www.gov.gr/ipiresies/georgia-kai-ktenotrophia/exagoges-agrotikon-proionton-kai-zonton-zoon/pistopoietiko-exagoges-alieumaton-kai-alieutikon-proionton-sto-maurobounio","Πιστοποιητικό εξαγωγής αλιευμάτων και αλιευτικών προϊόντων στο Μαυροβούνιο")</f>
        <v>Πιστοποιητικό εξαγωγής αλιευμάτων και αλιευτικών προϊόντων στο Μαυροβούνιο</v>
      </c>
      <c r="E126" t="s">
        <v>22</v>
      </c>
    </row>
    <row r="127" spans="1:5" x14ac:dyDescent="0.25">
      <c r="A127">
        <v>16248</v>
      </c>
      <c r="B127" t="s">
        <v>27</v>
      </c>
      <c r="C127" t="s">
        <v>182</v>
      </c>
      <c r="D127" t="str">
        <f>HYPERLINK("Https://www.gov.gr/ipiresies/georgia-kai-ktenotrophia/exagoges-agrotikon-proionton-kai-zonton-zoon/pistopoietiko-exagoges-augon-gia-biomekhanike-khrese-stis-enomenes-politeies-amerikes-epa","Πιστοποιητικό εξαγωγής αυγών για βιομηχανική χρήση στις Ηνωμένες Πολιτείες Αμερικής (ΗΠΑ)")</f>
        <v>Πιστοποιητικό εξαγωγής αυγών για βιομηχανική χρήση στις Ηνωμένες Πολιτείες Αμερικής (ΗΠΑ)</v>
      </c>
      <c r="E127" t="s">
        <v>22</v>
      </c>
    </row>
    <row r="128" spans="1:5" x14ac:dyDescent="0.25">
      <c r="A128">
        <v>16236</v>
      </c>
      <c r="B128" t="s">
        <v>27</v>
      </c>
      <c r="C128" t="s">
        <v>182</v>
      </c>
      <c r="D128" t="str">
        <f>HYPERLINK("Https://www.gov.gr/ipiresies/georgia-kai-ktenotrophia/exagoges-agrotikon-proionton-kai-zonton-zoon/pistopoietiko-exagoges-augon-epoases-ste-serbia","Πιστοποιητικό εξαγωγής αυγών επώασης στη Σερβία")</f>
        <v>Πιστοποιητικό εξαγωγής αυγών επώασης στη Σερβία</v>
      </c>
      <c r="E128" t="s">
        <v>22</v>
      </c>
    </row>
    <row r="129" spans="1:5" x14ac:dyDescent="0.25">
      <c r="A129">
        <v>16237</v>
      </c>
      <c r="B129" t="s">
        <v>27</v>
      </c>
      <c r="C129" t="s">
        <v>182</v>
      </c>
      <c r="D129" t="str">
        <f>HYPERLINK("Https://www.gov.gr/ipiresies/georgia-kai-ktenotrophia/exagoges-agrotikon-proionton-kai-zonton-zoon/pistopoietiko-exagoges-augon-epoases-sten-albania","Πιστοποιητικό εξαγωγής αυγών επώασης στην Αλβανία")</f>
        <v>Πιστοποιητικό εξαγωγής αυγών επώασης στην Αλβανία</v>
      </c>
      <c r="E129" t="s">
        <v>22</v>
      </c>
    </row>
    <row r="130" spans="1:5" x14ac:dyDescent="0.25">
      <c r="A130">
        <v>16235</v>
      </c>
      <c r="B130" t="s">
        <v>27</v>
      </c>
      <c r="C130" t="s">
        <v>182</v>
      </c>
      <c r="D130" t="str">
        <f>HYPERLINK("Https://www.gov.gr/ipiresies/georgia-kai-ktenotrophia/exagoges-agrotikon-proionton-kai-zonton-zoon/pistopoietiko-exagoges-augon-ste-boreia-makedonia","Πιστοποιητικό εξαγωγής αυγών στη Βόρεια Μακεδονία")</f>
        <v>Πιστοποιητικό εξαγωγής αυγών στη Βόρεια Μακεδονία</v>
      </c>
      <c r="E130" t="s">
        <v>22</v>
      </c>
    </row>
    <row r="131" spans="1:5" x14ac:dyDescent="0.25">
      <c r="A131">
        <v>16234</v>
      </c>
      <c r="B131" t="s">
        <v>27</v>
      </c>
      <c r="C131" t="s">
        <v>182</v>
      </c>
      <c r="D131" t="str">
        <f>HYPERLINK("Https://www.gov.gr/ipiresies/georgia-kai-ktenotrophia/exagoges-agrotikon-proionton-kai-zonton-zoon/pistopoietiko-exagoges-augon-ste-serbia","Πιστοποιητικό εξαγωγής αυγών στη Σερβία")</f>
        <v>Πιστοποιητικό εξαγωγής αυγών στη Σερβία</v>
      </c>
      <c r="E131" t="s">
        <v>22</v>
      </c>
    </row>
    <row r="132" spans="1:5" x14ac:dyDescent="0.25">
      <c r="A132">
        <v>16233</v>
      </c>
      <c r="B132" t="s">
        <v>27</v>
      </c>
      <c r="C132" t="s">
        <v>182</v>
      </c>
      <c r="D132" t="str">
        <f>HYPERLINK("Https://www.gov.gr/ipiresies/georgia-kai-ktenotrophia/exagoges-agrotikon-proionton-kai-zonton-zoon/pistopoietiko-exagoges-augon-sten-albania","Πιστοποιητικό εξαγωγής αυγών στην Αλβανία")</f>
        <v>Πιστοποιητικό εξαγωγής αυγών στην Αλβανία</v>
      </c>
      <c r="E132" t="s">
        <v>22</v>
      </c>
    </row>
    <row r="133" spans="1:5" x14ac:dyDescent="0.25">
      <c r="A133">
        <v>16206</v>
      </c>
      <c r="B133" t="s">
        <v>27</v>
      </c>
      <c r="C133" t="s">
        <v>182</v>
      </c>
      <c r="D133" t="str">
        <f>HYPERLINK("Https://www.gov.gr/ipiresies/georgia-kai-ktenotrophia/exagoges-agrotikon-proionton-kai-zonton-zoon/pistopoietiko-exagoges-basilisson-melisson-kai-agriomelisson-ste-boreia-makedonia","Πιστοποιητικό εξαγωγής βασιλισσών μελισσών και αγριομελισσών στη Βόρεια Μακεδονία")</f>
        <v>Πιστοποιητικό εξαγωγής βασιλισσών μελισσών και αγριομελισσών στη Βόρεια Μακεδονία</v>
      </c>
      <c r="E133" t="s">
        <v>22</v>
      </c>
    </row>
    <row r="134" spans="1:5" x14ac:dyDescent="0.25">
      <c r="A134">
        <v>16207</v>
      </c>
      <c r="B134" t="s">
        <v>27</v>
      </c>
      <c r="C134" t="s">
        <v>182</v>
      </c>
      <c r="D134" t="str">
        <f>HYPERLINK("Https://www.gov.gr/ipiresies/georgia-kai-ktenotrophia/exagoges-agrotikon-proionton-kai-zonton-zoon/pistopoietiko-exagoges-basilisson-melisson-kai-agriomelisson-sten-albania","Πιστοποιητικό εξαγωγής βασιλισσών μελισσών και αγριομελισσών στην Αλβανία")</f>
        <v>Πιστοποιητικό εξαγωγής βασιλισσών μελισσών και αγριομελισσών στην Αλβανία</v>
      </c>
      <c r="E134" t="s">
        <v>22</v>
      </c>
    </row>
    <row r="135" spans="1:5" x14ac:dyDescent="0.25">
      <c r="A135">
        <v>16208</v>
      </c>
      <c r="B135" t="s">
        <v>27</v>
      </c>
      <c r="C135" t="s">
        <v>182</v>
      </c>
      <c r="D135" t="str">
        <f>HYPERLINK("Https://www.gov.gr/ipiresies/georgia-kai-ktenotrophia/exagoges-agrotikon-proionton-kai-zonton-zoon/pistopoietiko-exagoges-bombinon-gia-gonimopoiese-lakhanikon-ste-serbia","Πιστοποιητικό εξαγωγής βομβίνων για γονιμοποίηση λαχανικών στη Σερβία")</f>
        <v>Πιστοποιητικό εξαγωγής βομβίνων για γονιμοποίηση λαχανικών στη Σερβία</v>
      </c>
      <c r="E135" t="s">
        <v>22</v>
      </c>
    </row>
    <row r="136" spans="1:5" x14ac:dyDescent="0.25">
      <c r="A136">
        <v>16238</v>
      </c>
      <c r="B136" t="s">
        <v>27</v>
      </c>
      <c r="C136" t="s">
        <v>182</v>
      </c>
      <c r="D136" t="str">
        <f>HYPERLINK("Https://www.gov.gr/ipiresies/georgia-kai-ktenotrophia/exagoges-agrotikon-proionton-kai-zonton-zoon/pistopoietiko-exagoges-booeidon-sphages-sten-albania","Πιστοποιητικό εξαγωγής βοοειδών σφαγής στην Αλβανία")</f>
        <v>Πιστοποιητικό εξαγωγής βοοειδών σφαγής στην Αλβανία</v>
      </c>
      <c r="E136" t="s">
        <v>22</v>
      </c>
    </row>
    <row r="137" spans="1:5" x14ac:dyDescent="0.25">
      <c r="A137">
        <v>15916</v>
      </c>
      <c r="B137" t="s">
        <v>27</v>
      </c>
      <c r="C137" t="s">
        <v>182</v>
      </c>
      <c r="D137" t="str">
        <f>HYPERLINK("Https://www.gov.gr/ipiresies/georgia-kai-ktenotrophia/exagoges-agrotikon-proionton-kai-zonton-zoon/pistopoietiko-exagoges-galaktos-kai-galaktokomikon-proionton-ste-boreia-makedonia","Πιστοποιητικό εξαγωγής γάλακτος και γαλακτοκομικών προϊόντων στη Βόρεια Μακεδονία")</f>
        <v>Πιστοποιητικό εξαγωγής γάλακτος και γαλακτοκομικών προϊόντων στη Βόρεια Μακεδονία</v>
      </c>
      <c r="E137" t="s">
        <v>22</v>
      </c>
    </row>
    <row r="138" spans="1:5" x14ac:dyDescent="0.25">
      <c r="A138">
        <v>15920</v>
      </c>
      <c r="B138" t="s">
        <v>27</v>
      </c>
      <c r="C138" t="s">
        <v>182</v>
      </c>
      <c r="D138" t="str">
        <f>HYPERLINK("Https://www.gov.gr/ipiresies/georgia-kai-ktenotrophia/exagoges-agrotikon-proionton-kai-zonton-zoon/pistopoietiko-exagoges-galaktos-kai-galaktokomikon-proionton-ste-serbia","Πιστοποιητικό εξαγωγής γάλακτος και γαλακτοκομικών προϊόντων στη Σερβία")</f>
        <v>Πιστοποιητικό εξαγωγής γάλακτος και γαλακτοκομικών προϊόντων στη Σερβία</v>
      </c>
      <c r="E138" t="s">
        <v>22</v>
      </c>
    </row>
    <row r="139" spans="1:5" x14ac:dyDescent="0.25">
      <c r="A139">
        <v>15907</v>
      </c>
      <c r="B139" t="s">
        <v>27</v>
      </c>
      <c r="C139" t="s">
        <v>182</v>
      </c>
      <c r="D139" t="str">
        <f>HYPERLINK("Https://www.gov.gr/ipiresies/georgia-kai-ktenotrophia/exagoges-agrotikon-proionton-kai-zonton-zoon/pistopoietiko-exagoges-galaktos-kai-galaktokomikon-proionton-sten-albania","Πιστοποιητικό εξαγωγής γάλακτος και γαλακτοκομικών προϊόντων στην Αλβανία")</f>
        <v>Πιστοποιητικό εξαγωγής γάλακτος και γαλακτοκομικών προϊόντων στην Αλβανία</v>
      </c>
      <c r="E139" t="s">
        <v>22</v>
      </c>
    </row>
    <row r="140" spans="1:5" x14ac:dyDescent="0.25">
      <c r="A140">
        <v>15903</v>
      </c>
      <c r="B140" t="s">
        <v>27</v>
      </c>
      <c r="C140" t="s">
        <v>182</v>
      </c>
      <c r="D140" t="str">
        <f>HYPERLINK("Https://www.gov.gr/ipiresies/georgia-kai-ktenotrophia/exagoges-agrotikon-proionton-kai-zonton-zoon/pistopoietiko-exagoges-galaktos-kai-galaktokomikon-proionton-sten-australia","Πιστοποιητικό εξαγωγής γάλακτος και γαλακτοκομικών προϊόντων στην Αυστραλία")</f>
        <v>Πιστοποιητικό εξαγωγής γάλακτος και γαλακτοκομικών προϊόντων στην Αυστραλία</v>
      </c>
      <c r="E140" t="s">
        <v>22</v>
      </c>
    </row>
    <row r="141" spans="1:5" x14ac:dyDescent="0.25">
      <c r="A141">
        <v>15929</v>
      </c>
      <c r="B141" t="s">
        <v>27</v>
      </c>
      <c r="C141" t="s">
        <v>182</v>
      </c>
      <c r="D141" t="str">
        <f>HYPERLINK("Https://www.gov.gr/ipiresies/georgia-kai-ktenotrophia/exagoges-agrotikon-proionton-kai-zonton-zoon/pistopoietiko-exagoges-galaktos-kai-galaktokomikon-proionton-sten-iaponia","Πιστοποιητικό εξαγωγής γάλακτος και γαλακτοκομικών προϊόντων στην Ιαπωνία")</f>
        <v>Πιστοποιητικό εξαγωγής γάλακτος και γαλακτοκομικών προϊόντων στην Ιαπωνία</v>
      </c>
      <c r="E141" t="s">
        <v>22</v>
      </c>
    </row>
    <row r="142" spans="1:5" x14ac:dyDescent="0.25">
      <c r="A142">
        <v>15899</v>
      </c>
      <c r="B142" t="s">
        <v>27</v>
      </c>
      <c r="C142" t="s">
        <v>182</v>
      </c>
      <c r="D142" t="str">
        <f>HYPERLINK("Https://www.gov.gr/ipiresies/georgia-kai-ktenotrophia/exagoges-agrotikon-proionton-kai-zonton-zoon/pistopoietiko-exagoges-galaktos-kai-galaktokomikon-proionton-stis-enomenes-politeies-amerikes-epa","Πιστοποιητικό εξαγωγής γάλακτος και γαλακτοκομικών προϊόντων στις Ηνωμένες Πολιτείες Αμερικής (ΗΠΑ)")</f>
        <v>Πιστοποιητικό εξαγωγής γάλακτος και γαλακτοκομικών προϊόντων στις Ηνωμένες Πολιτείες Αμερικής (ΗΠΑ)</v>
      </c>
      <c r="E142" t="s">
        <v>22</v>
      </c>
    </row>
    <row r="143" spans="1:5" x14ac:dyDescent="0.25">
      <c r="A143">
        <v>15911</v>
      </c>
      <c r="B143" t="s">
        <v>27</v>
      </c>
      <c r="C143" t="s">
        <v>182</v>
      </c>
      <c r="D143" t="str">
        <f>HYPERLINK("Https://www.gov.gr/ipiresies/georgia-kai-ktenotrophia/exagoges-agrotikon-proionton-kai-zonton-zoon/pistopoietiko-exagoges-galaktos-kai-galaktokomikon-proionton-sto-israel","Πιστοποιητικό εξαγωγής γάλακτος και γαλακτοκομικών προϊόντων στο Ισραήλ")</f>
        <v>Πιστοποιητικό εξαγωγής γάλακτος και γαλακτοκομικών προϊόντων στο Ισραήλ</v>
      </c>
      <c r="E143" t="s">
        <v>22</v>
      </c>
    </row>
    <row r="144" spans="1:5" x14ac:dyDescent="0.25">
      <c r="A144">
        <v>15918</v>
      </c>
      <c r="B144" t="s">
        <v>27</v>
      </c>
      <c r="C144" t="s">
        <v>182</v>
      </c>
      <c r="D144" t="str">
        <f>HYPERLINK("Https://www.gov.gr/ipiresies/georgia-kai-ktenotrophia/exagoges-agrotikon-proionton-kai-zonton-zoon/pistopoietiko-exagoges-galaktos-kai-galaktokomikon-proionton-sto-kosobo","Πιστοποιητικό εξαγωγής γάλακτος και γαλακτοκομικών προϊόντων στο Κόσοβο")</f>
        <v>Πιστοποιητικό εξαγωγής γάλακτος και γαλακτοκομικών προϊόντων στο Κόσοβο</v>
      </c>
      <c r="E144" t="s">
        <v>22</v>
      </c>
    </row>
    <row r="145" spans="1:5" x14ac:dyDescent="0.25">
      <c r="A145">
        <v>15926</v>
      </c>
      <c r="B145" t="s">
        <v>27</v>
      </c>
      <c r="C145" t="s">
        <v>182</v>
      </c>
      <c r="D145" t="str">
        <f>HYPERLINK("Https://www.gov.gr/ipiresies/georgia-kai-ktenotrophia/exagoges-agrotikon-proionton-kai-zonton-zoon/pistopoietiko-exagoges-galaktos-kai-galaktokomikon-proionton-sto-libano","Πιστοποιητικό εξαγωγής γάλακτος και γαλακτοκομικών προϊόντων στο Λίβανο")</f>
        <v>Πιστοποιητικό εξαγωγής γάλακτος και γαλακτοκομικών προϊόντων στο Λίβανο</v>
      </c>
      <c r="E145" t="s">
        <v>22</v>
      </c>
    </row>
    <row r="146" spans="1:5" x14ac:dyDescent="0.25">
      <c r="A146">
        <v>15923</v>
      </c>
      <c r="B146" t="s">
        <v>27</v>
      </c>
      <c r="C146" t="s">
        <v>182</v>
      </c>
      <c r="D146" t="str">
        <f>HYPERLINK("Https://www.gov.gr/ipiresies/georgia-kai-ktenotrophia/exagoges-agrotikon-proionton-kai-zonton-zoon/pistopoietiko-exagoges-galaktos-kai-galaktokomikon-proionton-sto-maroko","Πιστοποιητικό εξαγωγής γάλακτος και γαλακτοκομικών προϊόντων στο Μαρόκο")</f>
        <v>Πιστοποιητικό εξαγωγής γάλακτος και γαλακτοκομικών προϊόντων στο Μαρόκο</v>
      </c>
      <c r="E146" t="s">
        <v>22</v>
      </c>
    </row>
    <row r="147" spans="1:5" x14ac:dyDescent="0.25">
      <c r="A147">
        <v>15925</v>
      </c>
      <c r="B147" t="s">
        <v>27</v>
      </c>
      <c r="C147" t="s">
        <v>182</v>
      </c>
      <c r="D147" t="str">
        <f>HYPERLINK("Https://www.gov.gr/ipiresies/georgia-kai-ktenotrophia/exagoges-agrotikon-proionton-kai-zonton-zoon/pistopoietiko-exagoges-galaktos-kai-galaktokomikon-proionton-sto-maurobounio","Πιστοποιητικό εξαγωγής γάλακτος και γαλακτοκομικών προϊόντων στο Μαυροβούνιο")</f>
        <v>Πιστοποιητικό εξαγωγής γάλακτος και γαλακτοκομικών προϊόντων στο Μαυροβούνιο</v>
      </c>
      <c r="E147" t="s">
        <v>22</v>
      </c>
    </row>
    <row r="148" spans="1:5" x14ac:dyDescent="0.25">
      <c r="A148">
        <v>15912</v>
      </c>
      <c r="B148" t="s">
        <v>27</v>
      </c>
      <c r="C148" t="s">
        <v>182</v>
      </c>
      <c r="D148" t="str">
        <f>HYPERLINK("Https://www.gov.gr/ipiresies/georgia-kai-ktenotrophia/exagoges-agrotikon-proionton-kai-zonton-zoon/pistopoietiko-exagoges-galaktos-kai-galaktokomikon-proionton-ston-kanada","Πιστοποιητικό εξαγωγής γάλακτος και γαλακτοκομικών προϊόντων στον Καναδά")</f>
        <v>Πιστοποιητικό εξαγωγής γάλακτος και γαλακτοκομικών προϊόντων στον Καναδά</v>
      </c>
      <c r="E148" t="s">
        <v>22</v>
      </c>
    </row>
    <row r="149" spans="1:5" x14ac:dyDescent="0.25">
      <c r="A149">
        <v>16271</v>
      </c>
      <c r="B149" t="s">
        <v>27</v>
      </c>
      <c r="C149" t="s">
        <v>182</v>
      </c>
      <c r="D149" t="str">
        <f>HYPERLINK("Https://www.gov.gr/ipiresies/georgia-kai-ktenotrophia/exagoges-agrotikon-proionton-kai-zonton-zoon/pistopoietiko-exagoges-dermaton-khoirou-sto-mexiko","Πιστοποιητικό εξαγωγής δερμάτων χοίρου στο Μεξικό")</f>
        <v>Πιστοποιητικό εξαγωγής δερμάτων χοίρου στο Μεξικό</v>
      </c>
      <c r="E149" t="s">
        <v>22</v>
      </c>
    </row>
    <row r="150" spans="1:5" x14ac:dyDescent="0.25">
      <c r="A150">
        <v>16259</v>
      </c>
      <c r="B150" t="s">
        <v>27</v>
      </c>
      <c r="C150" t="s">
        <v>182</v>
      </c>
      <c r="D150" t="str">
        <f>HYPERLINK("Https://www.gov.gr/ipiresies/georgia-kai-ktenotrophia/exagoges-agrotikon-proionton-kai-zonton-zoon/pistopoietiko-exagoges-doron-dermaton-booeidon-sten-oukrania","Πιστοποιητικό εξαγωγής δορών / δερμάτων βοοειδών στην Ουκρανία")</f>
        <v>Πιστοποιητικό εξαγωγής δορών / δερμάτων βοοειδών στην Ουκρανία</v>
      </c>
      <c r="E150" t="s">
        <v>22</v>
      </c>
    </row>
    <row r="151" spans="1:5" x14ac:dyDescent="0.25">
      <c r="A151">
        <v>16257</v>
      </c>
      <c r="B151" t="s">
        <v>27</v>
      </c>
      <c r="C151" t="s">
        <v>182</v>
      </c>
      <c r="D151" t="str">
        <f>HYPERLINK("Https://www.gov.gr/ipiresies/georgia-kai-ktenotrophia/exagoges-agrotikon-proionton-kai-zonton-zoon/pistopoietiko-exagoges-doron-dermaton-oplephoron-sten-aigupto","Πιστοποιητικό εξαγωγής δορών / δερμάτων οπληφόρων στην Αίγυπτο")</f>
        <v>Πιστοποιητικό εξαγωγής δορών / δερμάτων οπληφόρων στην Αίγυπτο</v>
      </c>
      <c r="E151" t="s">
        <v>22</v>
      </c>
    </row>
    <row r="152" spans="1:5" x14ac:dyDescent="0.25">
      <c r="A152">
        <v>16261</v>
      </c>
      <c r="B152" t="s">
        <v>27</v>
      </c>
      <c r="C152" t="s">
        <v>182</v>
      </c>
      <c r="D152" t="str">
        <f>HYPERLINK("Https://www.gov.gr/ipiresies/georgia-kai-ktenotrophia/exagoges-agrotikon-proionton-kai-zonton-zoon/pistopoietiko-exagoges-doron-dermaton-oplephoron-sten-india","Πιστοποιητικό εξαγωγής δορών / δερμάτων οπληφόρων στην Ινδία")</f>
        <v>Πιστοποιητικό εξαγωγής δορών / δερμάτων οπληφόρων στην Ινδία</v>
      </c>
      <c r="E152" t="s">
        <v>22</v>
      </c>
    </row>
    <row r="153" spans="1:5" x14ac:dyDescent="0.25">
      <c r="A153">
        <v>16260</v>
      </c>
      <c r="B153" t="s">
        <v>27</v>
      </c>
      <c r="C153" t="s">
        <v>182</v>
      </c>
      <c r="D153" t="str">
        <f>HYPERLINK("Https://www.gov.gr/ipiresies/georgia-kai-ktenotrophia/exagoges-agrotikon-proionton-kai-zonton-zoon/pistopoietiko-exagoges-doron-dermaton-oplephoron-ston-libano","Πιστοποιητικό εξαγωγής δορών / δερμάτων οπληφόρων στον Λίβανο")</f>
        <v>Πιστοποιητικό εξαγωγής δορών / δερμάτων οπληφόρων στον Λίβανο</v>
      </c>
      <c r="E153" t="s">
        <v>22</v>
      </c>
    </row>
    <row r="154" spans="1:5" x14ac:dyDescent="0.25">
      <c r="A154">
        <v>16258</v>
      </c>
      <c r="B154" t="s">
        <v>27</v>
      </c>
      <c r="C154" t="s">
        <v>182</v>
      </c>
      <c r="D154" t="str">
        <f>HYPERLINK("Https://www.gov.gr/ipiresies/georgia-kai-ktenotrophia/exagoges-agrotikon-proionton-kai-zonton-zoon/pistopoietiko-exagoges-doron-dermaton-sten-albania","Πιστοποιητικό εξαγωγής δορών / δερμάτων στην Αλβανία")</f>
        <v>Πιστοποιητικό εξαγωγής δορών / δερμάτων στην Αλβανία</v>
      </c>
      <c r="E154" t="s">
        <v>22</v>
      </c>
    </row>
    <row r="155" spans="1:5" x14ac:dyDescent="0.25">
      <c r="A155">
        <v>15939</v>
      </c>
      <c r="B155" t="s">
        <v>27</v>
      </c>
      <c r="C155" t="s">
        <v>182</v>
      </c>
      <c r="D155" t="str">
        <f>HYPERLINK("Https://www.gov.gr/ipiresies/georgia-kai-ktenotrophia/exagoges-agrotikon-proionton-kai-zonton-zoon/pistopoietiko-exagoges-enteron-sten-albania","Πιστοποιητικό εξαγωγής εντέρων στην Αλβανία")</f>
        <v>Πιστοποιητικό εξαγωγής εντέρων στην Αλβανία</v>
      </c>
      <c r="E155" t="s">
        <v>22</v>
      </c>
    </row>
    <row r="156" spans="1:5" x14ac:dyDescent="0.25">
      <c r="A156">
        <v>16209</v>
      </c>
      <c r="B156" t="s">
        <v>27</v>
      </c>
      <c r="C156" t="s">
        <v>182</v>
      </c>
      <c r="D156" t="str">
        <f>HYPERLINK("Https://www.gov.gr/ipiresies/georgia-kai-ktenotrophia/exagoges-agrotikon-proionton-kai-zonton-zoon/pistopoietiko-exagoges-entomon-akareon-gia-biologiko-elegkho-ste-serbia","Πιστοποιητικό εξαγωγής εντόμων / ακάρεων για βιολογικό έλεγχο στη Σερβία")</f>
        <v>Πιστοποιητικό εξαγωγής εντόμων / ακάρεων για βιολογικό έλεγχο στη Σερβία</v>
      </c>
      <c r="E156" t="s">
        <v>22</v>
      </c>
    </row>
    <row r="157" spans="1:5" x14ac:dyDescent="0.25">
      <c r="A157">
        <v>16241</v>
      </c>
      <c r="B157" t="s">
        <v>27</v>
      </c>
      <c r="C157" t="s">
        <v>182</v>
      </c>
      <c r="D157" t="str">
        <f>HYPERLINK("Https://www.gov.gr/ipiresies/georgia-kai-ktenotrophia/exagoges-agrotikon-proionton-kai-zonton-zoon/pistopoietiko-exagoges-zontanon-dithuron-malakion-ste-boreia-makedonia","Πιστοποιητικό εξαγωγής ζωντανών δίθυρων μαλακίων στη Βόρεια Μακεδονία")</f>
        <v>Πιστοποιητικό εξαγωγής ζωντανών δίθυρων μαλακίων στη Βόρεια Μακεδονία</v>
      </c>
      <c r="E157" t="s">
        <v>22</v>
      </c>
    </row>
    <row r="158" spans="1:5" x14ac:dyDescent="0.25">
      <c r="A158">
        <v>16272</v>
      </c>
      <c r="B158" t="s">
        <v>27</v>
      </c>
      <c r="C158" t="s">
        <v>182</v>
      </c>
      <c r="D158" t="str">
        <f>HYPERLINK("Https://www.gov.gr/ipiresies/georgia-kai-ktenotrophia/exagoges-agrotikon-proionton-kai-zonton-zoon/pistopoietiko-exagoges-zoon-udatokalliergeias-augon-psarion-eksplakhnismenon-psarion-ste-boreia-makedonia","Πιστοποιητικό εξαγωγής ζώων υδατοκαλλιέργειας / αυγών ψαριών / εκσπλαχνισμένων ψαριών στη Βόρεια Μακεδονία")</f>
        <v>Πιστοποιητικό εξαγωγής ζώων υδατοκαλλιέργειας / αυγών ψαριών / εκσπλαχνισμένων ψαριών στη Βόρεια Μακεδονία</v>
      </c>
      <c r="E158" t="s">
        <v>22</v>
      </c>
    </row>
    <row r="159" spans="1:5" x14ac:dyDescent="0.25">
      <c r="A159">
        <v>16264</v>
      </c>
      <c r="B159" t="s">
        <v>27</v>
      </c>
      <c r="C159" t="s">
        <v>182</v>
      </c>
      <c r="D159" t="str">
        <f>HYPERLINK("Https://www.gov.gr/ipiresies/georgia-kai-ktenotrophia/exagoges-agrotikon-proionton-kai-zonton-zoon/pistopoietiko-exagoges-katergasmenou-malliou-probatou-sten-tourkia","Πιστοποιητικό εξαγωγής κατεργασμένου μαλλιού προβάτου στην Τουρκία")</f>
        <v>Πιστοποιητικό εξαγωγής κατεργασμένου μαλλιού προβάτου στην Τουρκία</v>
      </c>
      <c r="E159" t="s">
        <v>22</v>
      </c>
    </row>
    <row r="160" spans="1:5" x14ac:dyDescent="0.25">
      <c r="A160">
        <v>16262</v>
      </c>
      <c r="B160" t="s">
        <v>27</v>
      </c>
      <c r="C160" t="s">
        <v>182</v>
      </c>
      <c r="D160" t="str">
        <f>HYPERLINK("Https://www.gov.gr/ipiresies/georgia-kai-ktenotrophia/exagoges-agrotikon-proionton-kai-zonton-zoon/pistopoietiko-exagoges-katergasmenon-doron-dermaton-ste-bosnia-erzegobine","Πιστοποιητικό εξαγωγής κατεργασμένων δορών / δερμάτων στη Βοσνία Ερζεγοβίνη")</f>
        <v>Πιστοποιητικό εξαγωγής κατεργασμένων δορών / δερμάτων στη Βοσνία Ερζεγοβίνη</v>
      </c>
      <c r="E160" t="s">
        <v>22</v>
      </c>
    </row>
    <row r="161" spans="1:5" x14ac:dyDescent="0.25">
      <c r="A161">
        <v>16263</v>
      </c>
      <c r="B161" t="s">
        <v>27</v>
      </c>
      <c r="C161" t="s">
        <v>182</v>
      </c>
      <c r="D161" t="str">
        <f>HYPERLINK("Https://www.gov.gr/ipiresies/georgia-kai-ktenotrophia/exagoges-agrotikon-proionton-kai-zonton-zoon/pistopoietiko-exagoges-katergasmenon-doron-dermaton-ste-serbia","Πιστοποιητικό εξαγωγής κατεργασμένων δορών / δερμάτων στη Σερβία")</f>
        <v>Πιστοποιητικό εξαγωγής κατεργασμένων δορών / δερμάτων στη Σερβία</v>
      </c>
      <c r="E161" t="s">
        <v>22</v>
      </c>
    </row>
    <row r="162" spans="1:5" x14ac:dyDescent="0.25">
      <c r="A162">
        <v>16265</v>
      </c>
      <c r="B162" t="s">
        <v>27</v>
      </c>
      <c r="C162" t="s">
        <v>182</v>
      </c>
      <c r="D162" t="str">
        <f>HYPERLINK("Https://www.gov.gr/ipiresies/georgia-kai-ktenotrophia/exagoges-agrotikon-proionton-kai-zonton-zoon/pistopoietiko-exagoges-kreatos-aigoprobaton-kai-probeiou-kima-ste-boreia-makedonia","Πιστοποιητικό εξαγωγής κρέατος αιγοπροβάτων και πρόβειου κιμά στη Βόρεια Μακεδονία")</f>
        <v>Πιστοποιητικό εξαγωγής κρέατος αιγοπροβάτων και πρόβειου κιμά στη Βόρεια Μακεδονία</v>
      </c>
      <c r="E162" t="s">
        <v>22</v>
      </c>
    </row>
    <row r="163" spans="1:5" x14ac:dyDescent="0.25">
      <c r="A163">
        <v>15948</v>
      </c>
      <c r="B163" t="s">
        <v>27</v>
      </c>
      <c r="C163" t="s">
        <v>182</v>
      </c>
      <c r="D163" t="str">
        <f>HYPERLINK("Https://www.gov.gr/ipiresies/georgia-kai-ktenotrophia/exagoges-agrotikon-proionton-kai-zonton-zoon/pistopoietiko-exagoges-kreatos-aigoprobaton-kai-proionton-paraproionton-tou-sten-iordania","Πιστοποιητικό εξαγωγής κρέατος αιγοπροβάτων και προϊόντων / παραπροϊόντων  του στην Ιορδανία")</f>
        <v>Πιστοποιητικό εξαγωγής κρέατος αιγοπροβάτων και προϊόντων / παραπροϊόντων  του στην Ιορδανία</v>
      </c>
      <c r="E163" t="s">
        <v>22</v>
      </c>
    </row>
    <row r="164" spans="1:5" x14ac:dyDescent="0.25">
      <c r="A164">
        <v>15938</v>
      </c>
      <c r="B164" t="s">
        <v>27</v>
      </c>
      <c r="C164" t="s">
        <v>182</v>
      </c>
      <c r="D164" t="str">
        <f>HYPERLINK("Https://www.gov.gr/ipiresies/georgia-kai-ktenotrophia/exagoges-agrotikon-proionton-kai-zonton-zoon/pistopoietiko-exagoges-kreatos-amnoeriphion-kai-proionton-paraproionton-tous-sten-albania","Πιστοποιητικό εξαγωγής κρέατος αμνοεριφίων και προϊόντων / παραπροϊόντων  τους στην Αλβανία")</f>
        <v>Πιστοποιητικό εξαγωγής κρέατος αμνοεριφίων και προϊόντων / παραπροϊόντων  τους στην Αλβανία</v>
      </c>
      <c r="E164" t="s">
        <v>22</v>
      </c>
    </row>
    <row r="165" spans="1:5" x14ac:dyDescent="0.25">
      <c r="A165">
        <v>16204</v>
      </c>
      <c r="B165" t="s">
        <v>27</v>
      </c>
      <c r="C165" t="s">
        <v>182</v>
      </c>
      <c r="D165" t="str">
        <f>HYPERLINK("Https://www.gov.gr/ipiresies/georgia-kai-ktenotrophia/exagoges-agrotikon-proionton-kai-zonton-zoon/pistopoietiko-exagoges-kreatos-amnoeriphion-kai-proionton-paraproionton-tous-sten-india","Πιστοποιητικό εξαγωγής κρέατος αμνοεριφίων και προϊόντων / παραπροϊόντων τους στην Ινδία")</f>
        <v>Πιστοποιητικό εξαγωγής κρέατος αμνοεριφίων και προϊόντων / παραπροϊόντων τους στην Ινδία</v>
      </c>
      <c r="E165" t="s">
        <v>22</v>
      </c>
    </row>
    <row r="166" spans="1:5" x14ac:dyDescent="0.25">
      <c r="A166">
        <v>16211</v>
      </c>
      <c r="B166" t="s">
        <v>27</v>
      </c>
      <c r="C166" t="s">
        <v>182</v>
      </c>
      <c r="D166" t="str">
        <f>HYPERLINK("Https://www.gov.gr/ipiresies/georgia-kai-ktenotrophia/exagoges-agrotikon-proionton-kai-zonton-zoon/pistopoietiko-exagoges-kreatos-boeidon-kai-proionton-paraproionton-tou-sten-tourkia","Πιστοποιητικό εξαγωγής κρέατος βοειδών και προϊόντων / παραπροϊόντων του στην Τουρκία")</f>
        <v>Πιστοποιητικό εξαγωγής κρέατος βοειδών και προϊόντων / παραπροϊόντων του στην Τουρκία</v>
      </c>
      <c r="E166" t="s">
        <v>22</v>
      </c>
    </row>
    <row r="167" spans="1:5" x14ac:dyDescent="0.25">
      <c r="A167">
        <v>15953</v>
      </c>
      <c r="B167" t="s">
        <v>27</v>
      </c>
      <c r="C167" t="s">
        <v>182</v>
      </c>
      <c r="D167" t="str">
        <f>HYPERLINK("Https://www.gov.gr/ipiresies/georgia-kai-ktenotrophia/exagoges-agrotikon-proionton-kai-zonton-zoon/pistopoietiko-exagoges-kreatos-boeidon-kai-proionton-paraproionton-tou-sto-maurobounio","Πιστοποιητικό εξαγωγής κρέατος βοοειδών  και προϊόντων / παραπροϊόντων  του στο Μαυροβούνιο")</f>
        <v>Πιστοποιητικό εξαγωγής κρέατος βοοειδών  και προϊόντων / παραπροϊόντων  του στο Μαυροβούνιο</v>
      </c>
      <c r="E167" t="s">
        <v>22</v>
      </c>
    </row>
    <row r="168" spans="1:5" x14ac:dyDescent="0.25">
      <c r="A168">
        <v>15934</v>
      </c>
      <c r="B168" t="s">
        <v>27</v>
      </c>
      <c r="C168" t="s">
        <v>182</v>
      </c>
      <c r="D168" t="str">
        <f>HYPERLINK("Https://www.gov.gr/ipiresies/georgia-kai-ktenotrophia/exagoges-agrotikon-proionton-kai-zonton-zoon/pistopoietiko-exagoges-kreatos-booeidon-kai-proionton-paraproionton-tou-ste-boreia-makedonia","Πιστοποιητικό εξαγωγής κρέατος βοοειδών και  προϊόντων / παραπροϊόντων του στη Βόρεια Μακεδονία")</f>
        <v>Πιστοποιητικό εξαγωγής κρέατος βοοειδών και  προϊόντων / παραπροϊόντων του στη Βόρεια Μακεδονία</v>
      </c>
      <c r="E168" t="s">
        <v>22</v>
      </c>
    </row>
    <row r="169" spans="1:5" x14ac:dyDescent="0.25">
      <c r="A169">
        <v>15935</v>
      </c>
      <c r="B169" t="s">
        <v>27</v>
      </c>
      <c r="C169" t="s">
        <v>182</v>
      </c>
      <c r="D169" t="str">
        <f>HYPERLINK("Https://www.gov.gr/ipiresies/georgia-kai-ktenotrophia/exagoges-agrotikon-proionton-kai-zonton-zoon/pistopoietiko-exagoges-kreatos-boeidon-proionton-paraproionton-tou-sten-albania","Πιστοποιητικό εξαγωγής κρέατος βοοειδών, προϊόντων / παραπροϊόντων του στην Αλβανία")</f>
        <v>Πιστοποιητικό εξαγωγής κρέατος βοοειδών, προϊόντων / παραπροϊόντων του στην Αλβανία</v>
      </c>
      <c r="E169" t="s">
        <v>22</v>
      </c>
    </row>
    <row r="170" spans="1:5" x14ac:dyDescent="0.25">
      <c r="A170">
        <v>16212</v>
      </c>
      <c r="B170" t="s">
        <v>27</v>
      </c>
      <c r="C170" t="s">
        <v>182</v>
      </c>
      <c r="D170" t="str">
        <f>HYPERLINK("Https://www.gov.gr/ipiresies/georgia-kai-ktenotrophia/exagoges-agrotikon-proionton-kai-zonton-zoon/pistopoietiko-exagoges-kreatos-theramaton-ektrephomenon-kounelion-sten-armenia","Πιστοποιητικό εξαγωγής κρέατος θηραμάτων / εκτρεφομένων κουνελιών στην Αρμενία")</f>
        <v>Πιστοποιητικό εξαγωγής κρέατος θηραμάτων / εκτρεφομένων κουνελιών στην Αρμενία</v>
      </c>
      <c r="E170" t="s">
        <v>22</v>
      </c>
    </row>
    <row r="171" spans="1:5" x14ac:dyDescent="0.25">
      <c r="A171">
        <v>15932</v>
      </c>
      <c r="B171" t="s">
        <v>27</v>
      </c>
      <c r="C171" t="s">
        <v>182</v>
      </c>
      <c r="D171" t="str">
        <f>HYPERLINK("Https://www.gov.gr/ipiresies/georgia-kai-ktenotrophia/exagoges-agrotikon-proionton-kai-zonton-zoon/pistopoietiko-exagoges-kreatos-kai-proionton-paraproionton-kreatos-ste","Πιστοποιητικό εξαγωγής κρέατος και προϊόντων / παραπροϊόντων κρέατος στη Βόρεια Μακεδονία")</f>
        <v>Πιστοποιητικό εξαγωγής κρέατος και προϊόντων / παραπροϊόντων κρέατος στη Βόρεια Μακεδονία</v>
      </c>
      <c r="E171" t="s">
        <v>22</v>
      </c>
    </row>
    <row r="172" spans="1:5" x14ac:dyDescent="0.25">
      <c r="A172">
        <v>15944</v>
      </c>
      <c r="B172" t="s">
        <v>27</v>
      </c>
      <c r="C172" t="s">
        <v>182</v>
      </c>
      <c r="D172" t="str">
        <f>HYPERLINK("Https://www.gov.gr/ipiresies/georgia-kai-ktenotrophia/exagoges-agrotikon-proionton-kai-zonton-zoon/pistopoietiko-exagoges-kreatos-kai-proionton-paraproionton-kreatos-ste-nea-zelandia","Πιστοποιητικό εξαγωγής κρέατος και προϊόντων / παραπροϊόντων κρέατος στη Νέα Ζηλανδία")</f>
        <v>Πιστοποιητικό εξαγωγής κρέατος και προϊόντων / παραπροϊόντων κρέατος στη Νέα Ζηλανδία</v>
      </c>
      <c r="E172" t="s">
        <v>22</v>
      </c>
    </row>
    <row r="173" spans="1:5" x14ac:dyDescent="0.25">
      <c r="A173">
        <v>15933</v>
      </c>
      <c r="B173" t="s">
        <v>27</v>
      </c>
      <c r="C173" t="s">
        <v>182</v>
      </c>
      <c r="D173" t="str">
        <f>HYPERLINK("Https://www.gov.gr/ipiresies/georgia-kai-ktenotrophia/exagoges-agrotikon-proionton-kai-zonton-zoon/pistopoietiko-exagoges-kreatos-kai-proionton-paraproionton-kreatos-ste-serbia","Πιστοποιητικό εξαγωγής κρέατος και προϊόντων / παραπροϊόντων κρέατος στη Σερβία")</f>
        <v>Πιστοποιητικό εξαγωγής κρέατος και προϊόντων / παραπροϊόντων κρέατος στη Σερβία</v>
      </c>
      <c r="E173" t="s">
        <v>22</v>
      </c>
    </row>
    <row r="174" spans="1:5" x14ac:dyDescent="0.25">
      <c r="A174">
        <v>16216</v>
      </c>
      <c r="B174" t="s">
        <v>27</v>
      </c>
      <c r="C174" t="s">
        <v>182</v>
      </c>
      <c r="D174" t="str">
        <f>HYPERLINK("Https://www.gov.gr/ipiresies/georgia-kai-ktenotrophia/exagoges-agrotikon-proionton-kai-zonton-zoon/pistopoietiko-exagoges-kreatos-kai-proionton-paraproionton-kreatos-sten-armenia","Πιστοποιητικό εξαγωγής κρέατος και προϊόντων / παραπροϊόντων κρέατος στην Αρμενία")</f>
        <v>Πιστοποιητικό εξαγωγής κρέατος και προϊόντων / παραπροϊόντων κρέατος στην Αρμενία</v>
      </c>
      <c r="E174" t="s">
        <v>22</v>
      </c>
    </row>
    <row r="175" spans="1:5" x14ac:dyDescent="0.25">
      <c r="A175">
        <v>16210</v>
      </c>
      <c r="B175" t="s">
        <v>27</v>
      </c>
      <c r="C175" t="s">
        <v>182</v>
      </c>
      <c r="D175" t="str">
        <f>HYPERLINK("Https://www.gov.gr/ipiresies/georgia-kai-ktenotrophia/exagoges-agrotikon-proionton-kai-zonton-zoon/pistopoietiko-exagoges-kreatos-kai-proionton-paraproionton-kreatos-sten-iordania","Πιστοποιητικό εξαγωγής κρέατος και προϊόντων / παραπροϊόντων κρέατος στην Ιορδανία")</f>
        <v>Πιστοποιητικό εξαγωγής κρέατος και προϊόντων / παραπροϊόντων κρέατος στην Ιορδανία</v>
      </c>
      <c r="E175" t="s">
        <v>22</v>
      </c>
    </row>
    <row r="176" spans="1:5" x14ac:dyDescent="0.25">
      <c r="A176">
        <v>15937</v>
      </c>
      <c r="B176" t="s">
        <v>27</v>
      </c>
      <c r="C176" t="s">
        <v>182</v>
      </c>
      <c r="D176" t="str">
        <f>HYPERLINK("Https://www.gov.gr/ipiresies/georgia-kai-ktenotrophia/exagoges-agrotikon-proionton-kai-zonton-zoon/pistopoietiko-exagoges-kreatos-kai-proionton-paraproionton-kreatos-sten-oukrania","Πιστοποιητικό εξαγωγής κρέατος και προϊόντων / παραπροϊόντων κρέατος στην Ουκρανία")</f>
        <v>Πιστοποιητικό εξαγωγής κρέατος και προϊόντων / παραπροϊόντων κρέατος στην Ουκρανία</v>
      </c>
      <c r="E176" t="s">
        <v>22</v>
      </c>
    </row>
    <row r="177" spans="1:5" x14ac:dyDescent="0.25">
      <c r="A177">
        <v>15928</v>
      </c>
      <c r="B177" t="s">
        <v>27</v>
      </c>
      <c r="C177" t="s">
        <v>182</v>
      </c>
      <c r="D177" t="str">
        <f>HYPERLINK("Https://www.gov.gr/ipiresies/georgia-kai-ktenotrophia/exagoges-agrotikon-proionton-kai-zonton-zoon/pistopoietiko-exagoges-kreatos-kai-proionton-paraproionton-kreatos-sto-kosobo","Πιστοποιητικό εξαγωγής κρέατος και προϊόντων / παραπροϊόντων κρέατος στο Κόσοβο")</f>
        <v>Πιστοποιητικό εξαγωγής κρέατος και προϊόντων / παραπροϊόντων κρέατος στο Κόσοβο</v>
      </c>
      <c r="E177" t="s">
        <v>22</v>
      </c>
    </row>
    <row r="178" spans="1:5" x14ac:dyDescent="0.25">
      <c r="A178">
        <v>15943</v>
      </c>
      <c r="B178" t="s">
        <v>27</v>
      </c>
      <c r="C178" t="s">
        <v>182</v>
      </c>
      <c r="D178" t="str">
        <f>HYPERLINK("Https://www.gov.gr/ipiresies/georgia-kai-ktenotrophia/exagoges-agrotikon-proionton-kai-zonton-zoon/pistopoietiko-exagoges-kreatos-kai-proionton-paraproionton-kreatos-sto-maurobounio","Πιστοποιητικό εξαγωγής κρέατος και προϊόντων / παραπροϊόντων κρέατος στο Μαυροβούνιο")</f>
        <v>Πιστοποιητικό εξαγωγής κρέατος και προϊόντων / παραπροϊόντων κρέατος στο Μαυροβούνιο</v>
      </c>
      <c r="E178" t="s">
        <v>22</v>
      </c>
    </row>
    <row r="179" spans="1:5" x14ac:dyDescent="0.25">
      <c r="A179">
        <v>15949</v>
      </c>
      <c r="B179" t="s">
        <v>27</v>
      </c>
      <c r="C179" t="s">
        <v>182</v>
      </c>
      <c r="D179" t="str">
        <f>HYPERLINK("Https://www.gov.gr/ipiresies/georgia-kai-ktenotrophia/exagoges-agrotikon-proionton-kai-zonton-zoon/pistopoietiko-exagoges-kreatos-kotopoulou-ortukion-kai-proionton-paraproionton-tous-sten-india","Πιστοποιητικό εξαγωγής κρέατος κοτόπουλου - ορτυκιών  και προϊόντων / παραπροϊόντων  τους στην Ινδία")</f>
        <v>Πιστοποιητικό εξαγωγής κρέατος κοτόπουλου - ορτυκιών  και προϊόντων / παραπροϊόντων  τους στην Ινδία</v>
      </c>
      <c r="E179" t="s">
        <v>22</v>
      </c>
    </row>
    <row r="180" spans="1:5" x14ac:dyDescent="0.25">
      <c r="A180">
        <v>15952</v>
      </c>
      <c r="B180" t="s">
        <v>27</v>
      </c>
      <c r="C180" t="s">
        <v>182</v>
      </c>
      <c r="D180" t="str">
        <f>HYPERLINK("Https://www.gov.gr/ipiresies/georgia-kai-ktenotrophia/exagoges-agrotikon-proionton-kai-zonton-zoon/pistopoietiko-exagoges-kreatos-poulerikon-kai-proionton-paraproionton-tou-sto-maurobounio","Πιστοποιητικό εξαγωγής κρέατος πουλερικών  και προϊόντων / παραπροϊόντων  του στο Μαυροβούνιο")</f>
        <v>Πιστοποιητικό εξαγωγής κρέατος πουλερικών  και προϊόντων / παραπροϊόντων  του στο Μαυροβούνιο</v>
      </c>
      <c r="E180" t="s">
        <v>22</v>
      </c>
    </row>
    <row r="181" spans="1:5" x14ac:dyDescent="0.25">
      <c r="A181">
        <v>15942</v>
      </c>
      <c r="B181" t="s">
        <v>27</v>
      </c>
      <c r="C181" t="s">
        <v>182</v>
      </c>
      <c r="D181" t="str">
        <f>HYPERLINK("Https://www.gov.gr/ipiresies/georgia-kai-ktenotrophia/exagoges-agrotikon-proionton-kai-zonton-zoon/pistopoietiko-exagoges-kreatos-poulerikon-kai-proionton-paraproionton-tous-ste","Πιστοποιητικό εξαγωγής κρέατος πουλερικών  και προϊόντων / παραπροϊόντων  τους στη Βόρεια Μακεδονία")</f>
        <v>Πιστοποιητικό εξαγωγής κρέατος πουλερικών  και προϊόντων / παραπροϊόντων  τους στη Βόρεια Μακεδονία</v>
      </c>
      <c r="E181" t="s">
        <v>22</v>
      </c>
    </row>
    <row r="182" spans="1:5" x14ac:dyDescent="0.25">
      <c r="A182">
        <v>15945</v>
      </c>
      <c r="B182" t="s">
        <v>27</v>
      </c>
      <c r="C182" t="s">
        <v>182</v>
      </c>
      <c r="D182" t="str">
        <f>HYPERLINK("Https://www.gov.gr/ipiresies/georgia-kai-ktenotrophia/exagoges-agrotikon-proionton-kai-zonton-zoon/pistopoietiko-exagoges-kreatos-poulerikon-kai-proionton-paraproionton-tous-sten-albania","Πιστοποιητικό εξαγωγής κρέατος πουλερικών  και προϊόντων / παραπροϊόντων  τους στην Αλβανία")</f>
        <v>Πιστοποιητικό εξαγωγής κρέατος πουλερικών  και προϊόντων / παραπροϊόντων  τους στην Αλβανία</v>
      </c>
      <c r="E182" t="s">
        <v>22</v>
      </c>
    </row>
    <row r="183" spans="1:5" x14ac:dyDescent="0.25">
      <c r="A183">
        <v>15946</v>
      </c>
      <c r="B183" t="s">
        <v>27</v>
      </c>
      <c r="C183" t="s">
        <v>182</v>
      </c>
      <c r="D183" t="str">
        <f>HYPERLINK("Https://www.gov.gr/ipiresies/georgia-kai-ktenotrophia/exagoges-agrotikon-proionton-kai-zonton-zoon/pistopoietiko-exagoges-kreatos-poulerikon-kai-proionton-paraproionton-tous-sto-khongk-kongk","Πιστοποιητικό εξαγωγής κρέατος πουλερικών  και προϊόντων / παραπροϊόντων  τους στο Χόνγκ Κόνγκ")</f>
        <v>Πιστοποιητικό εξαγωγής κρέατος πουλερικών  και προϊόντων / παραπροϊόντων  τους στο Χόνγκ Κόνγκ</v>
      </c>
      <c r="E183" t="s">
        <v>22</v>
      </c>
    </row>
    <row r="184" spans="1:5" x14ac:dyDescent="0.25">
      <c r="A184">
        <v>16215</v>
      </c>
      <c r="B184" t="s">
        <v>27</v>
      </c>
      <c r="C184" t="s">
        <v>182</v>
      </c>
      <c r="D184" t="str">
        <f>HYPERLINK("Https://www.gov.gr/ipiresies/georgia-kai-ktenotrophia/exagoges-agrotikon-proionton-kai-zonton-zoon/pistopoietiko-exagoges-kreatos-poulerikon-kai-proionton-paraproionton-tou-sto-kosobo","Πιστοποιητικό εξαγωγής κρέατος πουλερικών και προϊόντων / παραπροϊόντων του στο Κόσοβο")</f>
        <v>Πιστοποιητικό εξαγωγής κρέατος πουλερικών και προϊόντων / παραπροϊόντων του στο Κόσοβο</v>
      </c>
      <c r="E184" t="s">
        <v>22</v>
      </c>
    </row>
    <row r="185" spans="1:5" x14ac:dyDescent="0.25">
      <c r="A185">
        <v>15951</v>
      </c>
      <c r="B185" t="s">
        <v>27</v>
      </c>
      <c r="C185" t="s">
        <v>182</v>
      </c>
      <c r="D185" t="str">
        <f>HYPERLINK("Https://www.gov.gr/ipiresies/georgia-kai-ktenotrophia/exagoges-agrotikon-proionton-kai-zonton-zoon/pistopoietiko-exagoges-kreatos-poulerikon-proionton-kai-paraproionton-tous-sto-kogko","Πιστοποιητικό εξαγωγής κρέατος πουλερικών,  προϊόντων και παραπροϊόντων τους στο Κογκό")</f>
        <v>Πιστοποιητικό εξαγωγής κρέατος πουλερικών,  προϊόντων και παραπροϊόντων τους στο Κογκό</v>
      </c>
      <c r="E185" t="s">
        <v>22</v>
      </c>
    </row>
    <row r="186" spans="1:5" x14ac:dyDescent="0.25">
      <c r="A186">
        <v>15940</v>
      </c>
      <c r="B186" t="s">
        <v>27</v>
      </c>
      <c r="C186" t="s">
        <v>182</v>
      </c>
      <c r="D186" t="str">
        <f>HYPERLINK("Https://www.gov.gr/ipiresies/georgia-kai-ktenotrophia/exagoges-agrotikon-proionton-kai-zonton-zoon/pistopoietiko-exagoges-kreatos-khoiron-kai-proionton-paraproionton-tou-ste-boreia-makedonia","Πιστοποιητικό εξαγωγής κρέατος χοίρων και προϊόντων / παραπροϊόντων  του στη Βόρεια Μακεδονία")</f>
        <v>Πιστοποιητικό εξαγωγής κρέατος χοίρων και προϊόντων / παραπροϊόντων  του στη Βόρεια Μακεδονία</v>
      </c>
      <c r="E186" t="s">
        <v>22</v>
      </c>
    </row>
    <row r="187" spans="1:5" x14ac:dyDescent="0.25">
      <c r="A187">
        <v>15950</v>
      </c>
      <c r="B187" t="s">
        <v>27</v>
      </c>
      <c r="C187" t="s">
        <v>182</v>
      </c>
      <c r="D187" t="str">
        <f>HYPERLINK("Https://www.gov.gr/ipiresies/georgia-kai-ktenotrophia/exagoges-agrotikon-proionton-kai-zonton-zoon/pistopoietiko-exagoges-khoireiou-kreatos-kai-proionton-paraproionton-tou-ste-nea-zelandia","Πιστοποιητικό εξαγωγής κρέατος χοίρων και προϊόντων / παραπροϊόντων  του στη Νέα Ζηλανδία")</f>
        <v>Πιστοποιητικό εξαγωγής κρέατος χοίρων και προϊόντων / παραπροϊόντων  του στη Νέα Ζηλανδία</v>
      </c>
      <c r="E187" t="s">
        <v>22</v>
      </c>
    </row>
    <row r="188" spans="1:5" x14ac:dyDescent="0.25">
      <c r="A188">
        <v>15954</v>
      </c>
      <c r="B188" t="s">
        <v>27</v>
      </c>
      <c r="C188" t="s">
        <v>182</v>
      </c>
      <c r="D188" t="str">
        <f>HYPERLINK("Https://www.gov.gr/ipiresies/georgia-kai-ktenotrophia/exagoges-agrotikon-proionton-kai-zonton-zoon/pistopoietiko-exagoges-khoireiou-kreatos-kai-proionton-paraproionton-tou-sten-india","Πιστοποιητικό εξαγωγής κρέατος χοίρων και προϊόντων / παραπροϊόντων  του στην Ινδία")</f>
        <v>Πιστοποιητικό εξαγωγής κρέατος χοίρων και προϊόντων / παραπροϊόντων  του στην Ινδία</v>
      </c>
      <c r="E188" t="s">
        <v>22</v>
      </c>
    </row>
    <row r="189" spans="1:5" x14ac:dyDescent="0.25">
      <c r="A189">
        <v>15947</v>
      </c>
      <c r="B189" t="s">
        <v>27</v>
      </c>
      <c r="C189" t="s">
        <v>182</v>
      </c>
      <c r="D189" t="str">
        <f>HYPERLINK("Https://www.gov.gr/ipiresies/georgia-kai-ktenotrophia/exagoges-agrotikon-proionton-kai-zonton-zoon/pistopoietiko-exagoges-khoireiou-kreatos-khoiron-kai-proionton-paraproionton-tou-sto-khongk-kongk","Πιστοποιητικό εξαγωγής κρέατος χοίρων και προϊόντων / παραπροϊόντων  του στο Χόνγκ Κόνγκ")</f>
        <v>Πιστοποιητικό εξαγωγής κρέατος χοίρων και προϊόντων / παραπροϊόντων  του στο Χόνγκ Κόνγκ</v>
      </c>
      <c r="E189" t="s">
        <v>22</v>
      </c>
    </row>
    <row r="190" spans="1:5" x14ac:dyDescent="0.25">
      <c r="A190">
        <v>15936</v>
      </c>
      <c r="B190" t="s">
        <v>27</v>
      </c>
      <c r="C190" t="s">
        <v>182</v>
      </c>
      <c r="D190" t="str">
        <f>HYPERLINK("Https://www.gov.gr/ipiresies/georgia-kai-ktenotrophia/exagoges-agrotikon-proionton-kai-zonton-zoon/pistopoietiko-exagoges-kreatos-khoiron-proionton-paraproionton-tou-sten-albania","Πιστοποιητικό εξαγωγής κρέατος χοίρων, προϊόντων / παραπροϊόντων του στην Αλβανία")</f>
        <v>Πιστοποιητικό εξαγωγής κρέατος χοίρων, προϊόντων / παραπροϊόντων του στην Αλβανία</v>
      </c>
      <c r="E190" t="s">
        <v>22</v>
      </c>
    </row>
    <row r="191" spans="1:5" x14ac:dyDescent="0.25">
      <c r="A191">
        <v>16266</v>
      </c>
      <c r="B191" t="s">
        <v>27</v>
      </c>
      <c r="C191" t="s">
        <v>182</v>
      </c>
      <c r="D191" t="str">
        <f>HYPERLINK("Https://www.gov.gr/ipiresies/georgia-kai-ktenotrophia/exagoges-agrotikon-proionton-kai-zonton-zoon/pistopoietiko-exagoges-mallion-trikhon-khoirou-sto-israel","Πιστοποιητικό εξαγωγής μαλλιών / τριχών χοίρου στο Ισραήλ")</f>
        <v>Πιστοποιητικό εξαγωγής μαλλιών / τριχών χοίρου στο Ισραήλ</v>
      </c>
      <c r="E191" t="s">
        <v>22</v>
      </c>
    </row>
    <row r="192" spans="1:5" x14ac:dyDescent="0.25">
      <c r="A192">
        <v>15921</v>
      </c>
      <c r="B192" t="s">
        <v>27</v>
      </c>
      <c r="C192" t="s">
        <v>182</v>
      </c>
      <c r="D192" t="str">
        <f>HYPERLINK("Https://www.gov.gr/ipiresies/georgia-kai-ktenotrophia/exagoges-agrotikon-proionton-kai-zonton-zoon/pistopoietiko-exagoges-meliou-kai-proionton-melissokomias-ste-serbia","Πιστοποιητικό εξαγωγής μελιού και προϊόντων μελισσοκομίας στη Σερβία")</f>
        <v>Πιστοποιητικό εξαγωγής μελιού και προϊόντων μελισσοκομίας στη Σερβία</v>
      </c>
      <c r="E192" t="s">
        <v>22</v>
      </c>
    </row>
    <row r="193" spans="1:5" x14ac:dyDescent="0.25">
      <c r="A193">
        <v>15914</v>
      </c>
      <c r="B193" t="s">
        <v>27</v>
      </c>
      <c r="C193" t="s">
        <v>182</v>
      </c>
      <c r="D193" t="str">
        <f>HYPERLINK("Https://www.gov.gr/ipiresies/georgia-kai-ktenotrophia/exagoges-agrotikon-proionton-kai-zonton-zoon/pistopoietiko-exagoges-meliou-kai-proionton-melissokomias-sten-aigupto","Πιστοποιητικό εξαγωγής μελιού και προϊόντων μελισσοκομίας στην Αίγυπτο")</f>
        <v>Πιστοποιητικό εξαγωγής μελιού και προϊόντων μελισσοκομίας στην Αίγυπτο</v>
      </c>
      <c r="E193" t="s">
        <v>22</v>
      </c>
    </row>
    <row r="194" spans="1:5" x14ac:dyDescent="0.25">
      <c r="A194">
        <v>15908</v>
      </c>
      <c r="B194" t="s">
        <v>27</v>
      </c>
      <c r="C194" t="s">
        <v>182</v>
      </c>
      <c r="D194" t="str">
        <f>HYPERLINK("Https://www.gov.gr/ipiresies/georgia-kai-ktenotrophia/exagoges-agrotikon-proionton-kai-zonton-zoon/pistopoietiko-exagoges-meliou-kai-proionton-melissokomias-sten-albania","Πιστοποιητικό εξαγωγής μελιού και προϊόντων μελισσοκομίας στην Αλβανία")</f>
        <v>Πιστοποιητικό εξαγωγής μελιού και προϊόντων μελισσοκομίας στην Αλβανία</v>
      </c>
      <c r="E194" t="s">
        <v>22</v>
      </c>
    </row>
    <row r="195" spans="1:5" x14ac:dyDescent="0.25">
      <c r="A195">
        <v>15904</v>
      </c>
      <c r="B195" t="s">
        <v>27</v>
      </c>
      <c r="C195" t="s">
        <v>182</v>
      </c>
      <c r="D195" t="str">
        <f>HYPERLINK("Https://www.gov.gr/ipiresies/georgia-kai-ktenotrophia/exagoges-agrotikon-proionton-kai-zonton-zoon/pistopoietiko-exagoges-meliou-kai-proionton-melissokomias-sten-australia","Πιστοποιητικό εξαγωγής μελιού και προϊόντων μελισσοκομίας στην Αυστραλία")</f>
        <v>Πιστοποιητικό εξαγωγής μελιού και προϊόντων μελισσοκομίας στην Αυστραλία</v>
      </c>
      <c r="E195" t="s">
        <v>22</v>
      </c>
    </row>
    <row r="196" spans="1:5" x14ac:dyDescent="0.25">
      <c r="A196">
        <v>15913</v>
      </c>
      <c r="B196" t="s">
        <v>27</v>
      </c>
      <c r="C196" t="s">
        <v>182</v>
      </c>
      <c r="D196" t="str">
        <f>HYPERLINK("Https://www.gov.gr/ipiresies/georgia-kai-ktenotrophia/exagoges-agrotikon-proionton-kai-zonton-zoon/pistopoietiko-exagoges-meliou-kai-proionton-melissokomias-sten-iaponia","Πιστοποιητικό εξαγωγής μελιού και προϊόντων μελισσοκομίας στην Ιαπωνία")</f>
        <v>Πιστοποιητικό εξαγωγής μελιού και προϊόντων μελισσοκομίας στην Ιαπωνία</v>
      </c>
      <c r="E196" t="s">
        <v>22</v>
      </c>
    </row>
    <row r="197" spans="1:5" x14ac:dyDescent="0.25">
      <c r="A197">
        <v>15900</v>
      </c>
      <c r="B197" t="s">
        <v>27</v>
      </c>
      <c r="C197" t="s">
        <v>182</v>
      </c>
      <c r="D197" t="str">
        <f>HYPERLINK("Https://www.gov.gr/ipiresies/georgia-kai-ktenotrophia/exagoges-agrotikon-proionton-kai-zonton-zoon/pistopoietiko-exagoges-meliou-kai-proionton-melissokomias-stis-enomenes-politeies-amerikes-epa","Πιστοποιητικό εξαγωγής μελιού και προϊόντων μελισσοκομίας στις Ηνωμένες Πολιτείες Αμερικής (ΗΠΑ)")</f>
        <v>Πιστοποιητικό εξαγωγής μελιού και προϊόντων μελισσοκομίας στις Ηνωμένες Πολιτείες Αμερικής (ΗΠΑ)</v>
      </c>
      <c r="E197" t="s">
        <v>22</v>
      </c>
    </row>
    <row r="198" spans="1:5" x14ac:dyDescent="0.25">
      <c r="A198">
        <v>15930</v>
      </c>
      <c r="B198" t="s">
        <v>27</v>
      </c>
      <c r="C198" t="s">
        <v>182</v>
      </c>
      <c r="D198" t="str">
        <f>HYPERLINK("Https://www.gov.gr/ipiresies/georgia-kai-ktenotrophia/exagoges-agrotikon-proionton-kai-zonton-zoon/pistopoietiko-exagoges-meliou-kai-proionton-melissokomias-sto-maroko","Πιστοποιητικό εξαγωγής μελιού και προϊόντων μελισσοκομίας στο Μαρόκο")</f>
        <v>Πιστοποιητικό εξαγωγής μελιού και προϊόντων μελισσοκομίας στο Μαρόκο</v>
      </c>
      <c r="E198" t="s">
        <v>22</v>
      </c>
    </row>
    <row r="199" spans="1:5" x14ac:dyDescent="0.25">
      <c r="A199">
        <v>16267</v>
      </c>
      <c r="B199" t="s">
        <v>27</v>
      </c>
      <c r="C199" t="s">
        <v>182</v>
      </c>
      <c r="D199" t="str">
        <f>HYPERLINK("Https://www.gov.gr/ipiresies/georgia-kai-ktenotrophia/exagoges-agrotikon-proionton-kai-zonton-zoon/pistopoietiko-exagoges-metapoiemenes-koprias-kai-paragogon-proionton-ste-boreia-makedonia","Πιστοποιητικό εξαγωγής μεταποιημένης κοπριάς και παράγωγων προϊόντων στη Βόρεια Μακεδονία")</f>
        <v>Πιστοποιητικό εξαγωγής μεταποιημένης κοπριάς και παράγωγων προϊόντων στη Βόρεια Μακεδονία</v>
      </c>
      <c r="E199" t="s">
        <v>22</v>
      </c>
    </row>
    <row r="200" spans="1:5" x14ac:dyDescent="0.25">
      <c r="A200">
        <v>16214</v>
      </c>
      <c r="B200" t="s">
        <v>27</v>
      </c>
      <c r="C200" t="s">
        <v>182</v>
      </c>
      <c r="D200" t="str">
        <f>HYPERLINK("Https://www.gov.gr/ipiresies/georgia-kai-ktenotrophia/exagoges-agrotikon-proionton-kai-zonton-zoon/pistopoietiko-exagoges-neosson-mias-emeras-plen-strouthionidon-ste-boreia-makedonia","Πιστοποιητικό εξαγωγής νεοσσών μιας ημέρας πλην στρουθιονιδών στη Βόρεια Μακεδονία")</f>
        <v>Πιστοποιητικό εξαγωγής νεοσσών μιας ημέρας πλην στρουθιονιδών στη Βόρεια Μακεδονία</v>
      </c>
      <c r="E200" t="s">
        <v>22</v>
      </c>
    </row>
    <row r="201" spans="1:5" x14ac:dyDescent="0.25">
      <c r="A201">
        <v>16213</v>
      </c>
      <c r="B201" t="s">
        <v>27</v>
      </c>
      <c r="C201" t="s">
        <v>182</v>
      </c>
      <c r="D201" t="str">
        <f>HYPERLINK("Https://www.gov.gr/ipiresies/georgia-kai-ktenotrophia/exagoges-agrotikon-proionton-kai-zonton-zoon/pistopoietiko-exagoges-neosson-mias-emeras-plen-strouthionidon-sten-albania","Πιστοποιητικό εξαγωγής νεοσσών μιας ημέρας πλην στρουθιονιδών στην Αλβανία")</f>
        <v>Πιστοποιητικό εξαγωγής νεοσσών μιας ημέρας πλην στρουθιονιδών στην Αλβανία</v>
      </c>
      <c r="E201" t="s">
        <v>22</v>
      </c>
    </row>
    <row r="202" spans="1:5" x14ac:dyDescent="0.25">
      <c r="A202">
        <v>16268</v>
      </c>
      <c r="B202" t="s">
        <v>27</v>
      </c>
      <c r="C202" t="s">
        <v>182</v>
      </c>
      <c r="D202" t="str">
        <f>HYPERLINK("Https://www.gov.gr/ipiresies/georgia-kai-ktenotrophia/exagoges-agrotikon-proionton-kai-zonton-zoon/pistopoietiko-exagoges-nopon-doron-ste-bosnia-erzegobine","Πιστοποιητικό εξαγωγής νωπών δορών στη Βοσνία Ερζεγοβίνη")</f>
        <v>Πιστοποιητικό εξαγωγής νωπών δορών στη Βοσνία Ερζεγοβίνη</v>
      </c>
      <c r="E202" t="s">
        <v>22</v>
      </c>
    </row>
    <row r="203" spans="1:5" x14ac:dyDescent="0.25">
      <c r="A203">
        <v>16250</v>
      </c>
      <c r="B203" t="s">
        <v>27</v>
      </c>
      <c r="C203" t="s">
        <v>182</v>
      </c>
      <c r="D203" t="str">
        <f>HYPERLINK("Https://www.gov.gr/ipiresies/georgia-kai-ktenotrophia/exagoges-agrotikon-proionton-kai-zonton-zoon/pistopoietiko-exagoges-pagoton-sten-albania","Πιστοποιητικό εξαγωγής παγωτών στην Αλβανία")</f>
        <v>Πιστοποιητικό εξαγωγής παγωτών στην Αλβανία</v>
      </c>
      <c r="E203" t="s">
        <v>22</v>
      </c>
    </row>
    <row r="204" spans="1:5" x14ac:dyDescent="0.25">
      <c r="A204">
        <v>15941</v>
      </c>
      <c r="B204" t="s">
        <v>27</v>
      </c>
      <c r="C204" t="s">
        <v>182</v>
      </c>
      <c r="D204" t="str">
        <f>HYPERLINK("Https://www.gov.gr/ipiresies/georgia-kai-ktenotrophia/exagoges-agrotikon-proionton-kai-zonton-zoon/pistopoietiko-exagoges-paraskeuasmaton-kreatos-ste-boreia-makedonia","Πιστοποιητικό εξαγωγής παρασκευασμάτων κρέατος στη Βόρεια Μακεδονία")</f>
        <v>Πιστοποιητικό εξαγωγής παρασκευασμάτων κρέατος στη Βόρεια Μακεδονία</v>
      </c>
      <c r="E204" t="s">
        <v>22</v>
      </c>
    </row>
    <row r="205" spans="1:5" x14ac:dyDescent="0.25">
      <c r="A205">
        <v>16247</v>
      </c>
      <c r="B205" t="s">
        <v>27</v>
      </c>
      <c r="C205" t="s">
        <v>182</v>
      </c>
      <c r="D205" t="str">
        <f>HYPERLINK("Https://www.gov.gr/ipiresies/georgia-kai-ktenotrophia/exagoges-agrotikon-proionton-kai-zonton-zoon/pistopoietiko-exagoges-poulerikon-sphages-emploutismos-theramaton-plen-strouthionidon-sten-albania","Πιστοποιητικό εξαγωγής πουλερικών σφαγής / εμπλουτισμός θηραμάτων πλην στρουθιονιδών στην Αλβανία")</f>
        <v>Πιστοποιητικό εξαγωγής πουλερικών σφαγής / εμπλουτισμός θηραμάτων πλην στρουθιονιδών στην Αλβανία</v>
      </c>
      <c r="E205" t="s">
        <v>22</v>
      </c>
    </row>
    <row r="206" spans="1:5" x14ac:dyDescent="0.25">
      <c r="A206">
        <v>16240</v>
      </c>
      <c r="B206" t="s">
        <v>27</v>
      </c>
      <c r="C206" t="s">
        <v>182</v>
      </c>
      <c r="D206" t="str">
        <f>HYPERLINK("Https://www.gov.gr/ipiresies/georgia-kai-ktenotrophia/exagoges-agrotikon-proionton-kai-zonton-zoon/pistopoietiko-exagoges-proionton-augon-ste-boreia-makedonia","Πιστοποιητικό εξαγωγής προϊόντων αυγών στη Βόρεια Μακεδονία")</f>
        <v>Πιστοποιητικό εξαγωγής προϊόντων αυγών στη Βόρεια Μακεδονία</v>
      </c>
      <c r="E206" t="s">
        <v>22</v>
      </c>
    </row>
    <row r="207" spans="1:5" x14ac:dyDescent="0.25">
      <c r="A207">
        <v>16232</v>
      </c>
      <c r="B207" t="s">
        <v>27</v>
      </c>
      <c r="C207" t="s">
        <v>182</v>
      </c>
      <c r="D207" t="str">
        <f>HYPERLINK("Https://www.gov.gr/ipiresies/georgia-kai-ktenotrophia/exagoges-agrotikon-proionton-kai-zonton-zoon/pistopoietiko-exagoges-proionton-augon-ste-serbia","Πιστοποιητικό εξαγωγής προϊόντων αυγών στη Σερβία")</f>
        <v>Πιστοποιητικό εξαγωγής προϊόντων αυγών στη Σερβία</v>
      </c>
      <c r="E207" t="s">
        <v>22</v>
      </c>
    </row>
    <row r="208" spans="1:5" x14ac:dyDescent="0.25">
      <c r="A208">
        <v>16239</v>
      </c>
      <c r="B208" t="s">
        <v>27</v>
      </c>
      <c r="C208" t="s">
        <v>182</v>
      </c>
      <c r="D208" t="str">
        <f>HYPERLINK("Https://www.gov.gr/ipiresies/georgia-kai-ktenotrophia/exagoges-agrotikon-proionton-kai-zonton-zoon/pistopoietiko-exagoges-proionton-augon-sto-kosobo","Πιστοποιητικό εξαγωγής προϊόντων αυγών στο Κόσοβο")</f>
        <v>Πιστοποιητικό εξαγωγής προϊόντων αυγών στο Κόσοβο</v>
      </c>
      <c r="E208" t="s">
        <v>22</v>
      </c>
    </row>
    <row r="209" spans="1:5" x14ac:dyDescent="0.25">
      <c r="A209">
        <v>16273</v>
      </c>
      <c r="B209" t="s">
        <v>27</v>
      </c>
      <c r="C209" t="s">
        <v>182</v>
      </c>
      <c r="D209" t="str">
        <f>HYPERLINK("Https://www.gov.gr/ipiresies/georgia-kai-ktenotrophia/exagoges-agrotikon-proionton-kai-zonton-zoon/pistopoietiko-exagoges-prosthetikon-zootrophon-gia-gates-kai-skulous-ste-rosia","Πιστοποιητικό εξαγωγής προσθετικών ζωοτροφών για γάτες και σκύλους στη Ρωσία")</f>
        <v>Πιστοποιητικό εξαγωγής προσθετικών ζωοτροφών για γάτες και σκύλους στη Ρωσία</v>
      </c>
      <c r="E209" t="s">
        <v>22</v>
      </c>
    </row>
    <row r="210" spans="1:5" x14ac:dyDescent="0.25">
      <c r="A210">
        <v>16269</v>
      </c>
      <c r="B210" t="s">
        <v>27</v>
      </c>
      <c r="C210" t="s">
        <v>182</v>
      </c>
      <c r="D210" t="str">
        <f>HYPERLINK("Https://www.gov.gr/ipiresies/georgia-kai-ktenotrophia/exagoges-agrotikon-proionton-kai-zonton-zoon/pistopoietiko-exagoges-proton-ulon-zootrophon-sto-kosobo","Πιστοποιητικό εξαγωγής πρώτων υλών ζωοτροφών στο Κόσοβο")</f>
        <v>Πιστοποιητικό εξαγωγής πρώτων υλών ζωοτροφών στο Κόσοβο</v>
      </c>
      <c r="E210" t="s">
        <v>22</v>
      </c>
    </row>
    <row r="211" spans="1:5" x14ac:dyDescent="0.25">
      <c r="A211">
        <v>16244</v>
      </c>
      <c r="B211" t="s">
        <v>27</v>
      </c>
      <c r="C211" t="s">
        <v>182</v>
      </c>
      <c r="D211" t="str">
        <f>HYPERLINK("Https://www.gov.gr/ipiresies/georgia-kai-ktenotrophia/exagoges-agrotikon-proionton-kai-zonton-zoon/pistopoietiko-exagoges-skulon-kai-gaton-ste-brazilia","Πιστοποιητικό εξαγωγής σκύλων και γατών στη Βραζιλία")</f>
        <v>Πιστοποιητικό εξαγωγής σκύλων και γατών στη Βραζιλία</v>
      </c>
      <c r="E211" t="s">
        <v>22</v>
      </c>
    </row>
    <row r="212" spans="1:5" x14ac:dyDescent="0.25">
      <c r="A212">
        <v>16243</v>
      </c>
      <c r="B212" t="s">
        <v>27</v>
      </c>
      <c r="C212" t="s">
        <v>182</v>
      </c>
      <c r="D212" t="str">
        <f>HYPERLINK("Https://www.gov.gr/ipiresies/georgia-kai-ktenotrophia/exagoges-agrotikon-proionton-kai-zonton-zoon/pistopoietiko-exagoges-skulon-kai-gaton-sten-argentine","Πιστοποιητικό εξαγωγής σκύλων και γατών στην Αργεντινή")</f>
        <v>Πιστοποιητικό εξαγωγής σκύλων και γατών στην Αργεντινή</v>
      </c>
      <c r="E212" t="s">
        <v>22</v>
      </c>
    </row>
    <row r="213" spans="1:5" x14ac:dyDescent="0.25">
      <c r="A213">
        <v>16246</v>
      </c>
      <c r="B213" t="s">
        <v>27</v>
      </c>
      <c r="C213" t="s">
        <v>182</v>
      </c>
      <c r="D213" t="str">
        <f>HYPERLINK("Https://www.gov.gr/ipiresies/georgia-kai-ktenotrophia/exagoges-agrotikon-proionton-kai-zonton-zoon/pistopoietiko-exagoges-skulon-kai-gaton-sten-ourougouae","Πιστοποιητικό εξαγωγής σκύλων και γατών στην Ουρουγουάη")</f>
        <v>Πιστοποιητικό εξαγωγής σκύλων και γατών στην Ουρουγουάη</v>
      </c>
      <c r="E213" t="s">
        <v>22</v>
      </c>
    </row>
    <row r="214" spans="1:5" x14ac:dyDescent="0.25">
      <c r="A214">
        <v>16245</v>
      </c>
      <c r="B214" t="s">
        <v>27</v>
      </c>
      <c r="C214" t="s">
        <v>182</v>
      </c>
      <c r="D214" t="str">
        <f>HYPERLINK("Https://www.gov.gr/ipiresies/georgia-kai-ktenotrophia/exagoges-agrotikon-proionton-kai-zonton-zoon/pistopoietiko-exagoges-skulon-kai-gaton-sten-paragouae","Πιστοποιητικό εξαγωγής σκύλων και γατών στην Παραγουάη")</f>
        <v>Πιστοποιητικό εξαγωγής σκύλων και γατών στην Παραγουάη</v>
      </c>
      <c r="E214" t="s">
        <v>22</v>
      </c>
    </row>
    <row r="215" spans="1:5" x14ac:dyDescent="0.25">
      <c r="A215">
        <v>16242</v>
      </c>
      <c r="B215" t="s">
        <v>27</v>
      </c>
      <c r="C215" t="s">
        <v>182</v>
      </c>
      <c r="D215" t="str">
        <f>HYPERLINK("Https://www.gov.gr/ipiresies/georgia-kai-ktenotrophia/exagoges-agrotikon-proionton-kai-zonton-zoon/pistopoietiko-exagoges-skulon-kai-gaton-stis-enomenes-politeies-amerikes-epa","Πιστοποιητικό εξαγωγής σκύλων και γατών στις Ηνωμένες Πολιτείες Αμερικής (ΗΠΑ)")</f>
        <v>Πιστοποιητικό εξαγωγής σκύλων και γατών στις Ηνωμένες Πολιτείες Αμερικής (ΗΠΑ)</v>
      </c>
      <c r="E215" t="s">
        <v>22</v>
      </c>
    </row>
    <row r="216" spans="1:5" x14ac:dyDescent="0.25">
      <c r="A216">
        <v>16251</v>
      </c>
      <c r="B216" t="s">
        <v>27</v>
      </c>
      <c r="C216" t="s">
        <v>182</v>
      </c>
      <c r="D216" t="str">
        <f>HYPERLINK("Https://www.gov.gr/ipiresies/georgia-kai-ktenotrophia/exagoges-agrotikon-proionton-kai-zonton-zoon/pistopoietiko-exagoges-smenous-melisson-sten-albania","Πιστοποιητικό εξαγωγής σμήνους μελισσών στην Αλβανία")</f>
        <v>Πιστοποιητικό εξαγωγής σμήνους μελισσών στην Αλβανία</v>
      </c>
      <c r="E216" t="s">
        <v>22</v>
      </c>
    </row>
    <row r="217" spans="1:5" x14ac:dyDescent="0.25">
      <c r="A217">
        <v>16218</v>
      </c>
      <c r="B217" t="s">
        <v>27</v>
      </c>
      <c r="C217" t="s">
        <v>182</v>
      </c>
      <c r="D217" t="str">
        <f>HYPERLINK("Https://www.gov.gr/ipiresies/georgia-kai-ktenotrophia/exagoges-agrotikon-proionton-kai-zonton-zoon/pistopoietiko-exagoges-suntheton-proionton-dieleuse-apothekeuse-ste-boreia-makedonia","Πιστοποιητικό εξαγωγής σύνθετων προϊόντων (διέλευση-αποθήκευση) στη Βόρεια Μακεδονία")</f>
        <v>Πιστοποιητικό εξαγωγής σύνθετων προϊόντων (διέλευση-αποθήκευση) στη Βόρεια Μακεδονία</v>
      </c>
      <c r="E217" t="s">
        <v>22</v>
      </c>
    </row>
    <row r="218" spans="1:5" x14ac:dyDescent="0.25">
      <c r="A218">
        <v>16221</v>
      </c>
      <c r="B218" t="s">
        <v>27</v>
      </c>
      <c r="C218" t="s">
        <v>182</v>
      </c>
      <c r="D218" t="str">
        <f>HYPERLINK("Https://www.gov.gr/ipiresies/georgia-kai-ktenotrophia/exagoges-agrotikon-proionton-kai-zonton-zoon/pistopoietiko-exagoges-suntheton-proionton-ste-boznia-erzegobine","Πιστοποιητικό εξαγωγής σύνθετων προϊόντων στη Βοζνία - Ερζεγοβίνη")</f>
        <v>Πιστοποιητικό εξαγωγής σύνθετων προϊόντων στη Βοζνία - Ερζεγοβίνη</v>
      </c>
      <c r="E218" t="s">
        <v>22</v>
      </c>
    </row>
    <row r="219" spans="1:5" x14ac:dyDescent="0.25">
      <c r="A219">
        <v>16217</v>
      </c>
      <c r="B219" t="s">
        <v>27</v>
      </c>
      <c r="C219" t="s">
        <v>182</v>
      </c>
      <c r="D219" t="str">
        <f>HYPERLINK("Https://www.gov.gr/ipiresies/georgia-kai-ktenotrophia/exagoges-agrotikon-proionton-kai-zonton-zoon/pistopoietiko-exagoges-suntheton-proionton-ste-boreia-makedonia","Πιστοποιητικό εξαγωγής σύνθετων προϊόντων στη Βόρεια Μακεδονία")</f>
        <v>Πιστοποιητικό εξαγωγής σύνθετων προϊόντων στη Βόρεια Μακεδονία</v>
      </c>
      <c r="E219" t="s">
        <v>22</v>
      </c>
    </row>
    <row r="220" spans="1:5" x14ac:dyDescent="0.25">
      <c r="A220">
        <v>16222</v>
      </c>
      <c r="B220" t="s">
        <v>27</v>
      </c>
      <c r="C220" t="s">
        <v>182</v>
      </c>
      <c r="D220" t="str">
        <f>HYPERLINK("Https://www.gov.gr/ipiresies/georgia-kai-ktenotrophia/exagoges-agrotikon-proionton-kai-zonton-zoon/pistopoietiko-exagoges-suntheton-proionton-ste-serbia","Πιστοποιητικό εξαγωγής σύνθετων προϊόντων στη Σερβία")</f>
        <v>Πιστοποιητικό εξαγωγής σύνθετων προϊόντων στη Σερβία</v>
      </c>
      <c r="E220" t="s">
        <v>22</v>
      </c>
    </row>
    <row r="221" spans="1:5" x14ac:dyDescent="0.25">
      <c r="A221">
        <v>15909</v>
      </c>
      <c r="B221" t="s">
        <v>27</v>
      </c>
      <c r="C221" t="s">
        <v>182</v>
      </c>
      <c r="D221" t="str">
        <f>HYPERLINK("Https://www.gov.gr/ipiresies/georgia-kai-ktenotrophia/exagoges-agrotikon-proionton-kai-zonton-zoon/pistopoietiko-exagoges-suntheton-proionton-sten-albania","Πιστοποιητικό εξαγωγής σύνθετων προϊόντων στην Αλβανία")</f>
        <v>Πιστοποιητικό εξαγωγής σύνθετων προϊόντων στην Αλβανία</v>
      </c>
      <c r="E221" t="s">
        <v>22</v>
      </c>
    </row>
    <row r="222" spans="1:5" x14ac:dyDescent="0.25">
      <c r="A222">
        <v>15905</v>
      </c>
      <c r="B222" t="s">
        <v>27</v>
      </c>
      <c r="C222" t="s">
        <v>182</v>
      </c>
      <c r="D222" t="str">
        <f>HYPERLINK("Https://www.gov.gr/ipiresies/georgia-kai-ktenotrophia/exagoges-agrotikon-proionton-kai-zonton-zoon/pistopoietiko-exagoges-suntheton-proionton-sten-australia","Πιστοποιητικό εξαγωγής σύνθετων προϊόντων στην Αυστραλία")</f>
        <v>Πιστοποιητικό εξαγωγής σύνθετων προϊόντων στην Αυστραλία</v>
      </c>
      <c r="E222" t="s">
        <v>22</v>
      </c>
    </row>
    <row r="223" spans="1:5" x14ac:dyDescent="0.25">
      <c r="A223">
        <v>16220</v>
      </c>
      <c r="B223" t="s">
        <v>27</v>
      </c>
      <c r="C223" t="s">
        <v>182</v>
      </c>
      <c r="D223" t="str">
        <f>HYPERLINK("Https://www.gov.gr/ipiresies/georgia-kai-ktenotrophia/exagoges-agrotikon-proionton-kai-zonton-zoon/pistopoietiko-exagoges-suntheton-proionton-sten-iaponia","Πιστοποιητικό εξαγωγής σύνθετων προϊόντων στην Ιαπωνία")</f>
        <v>Πιστοποιητικό εξαγωγής σύνθετων προϊόντων στην Ιαπωνία</v>
      </c>
      <c r="E223" t="s">
        <v>22</v>
      </c>
    </row>
    <row r="224" spans="1:5" x14ac:dyDescent="0.25">
      <c r="A224">
        <v>16219</v>
      </c>
      <c r="B224" t="s">
        <v>27</v>
      </c>
      <c r="C224" t="s">
        <v>182</v>
      </c>
      <c r="D224" t="str">
        <f>HYPERLINK("Https://www.gov.gr/ipiresies/georgia-kai-ktenotrophia/exagoges-agrotikon-proionton-kai-zonton-zoon/pistopoietiko-exagoges-suntheton-proionton-sten-indonesia","Πιστοποιητικό εξαγωγής σύνθετων προϊόντων στην Ινδονησία")</f>
        <v>Πιστοποιητικό εξαγωγής σύνθετων προϊόντων στην Ινδονησία</v>
      </c>
      <c r="E224" t="s">
        <v>22</v>
      </c>
    </row>
    <row r="225" spans="1:5" x14ac:dyDescent="0.25">
      <c r="A225">
        <v>15901</v>
      </c>
      <c r="B225" t="s">
        <v>27</v>
      </c>
      <c r="C225" t="s">
        <v>182</v>
      </c>
      <c r="D225" t="str">
        <f>HYPERLINK("Https://www.gov.gr/ipiresies/georgia-kai-ktenotrophia/exagoges-agrotikon-proionton-kai-zonton-zoon/pistopoietiko-exagoges-suntheton-proionton-stis-enomenes-politeies-amerikes-epa","Πιστοποιητικό εξαγωγής σύνθετων προϊόντων στις Ηνωμένες Πολιτείες Αμερικής (ΗΠΑ)")</f>
        <v>Πιστοποιητικό εξαγωγής σύνθετων προϊόντων στις Ηνωμένες Πολιτείες Αμερικής (ΗΠΑ)</v>
      </c>
      <c r="E225" t="s">
        <v>22</v>
      </c>
    </row>
    <row r="226" spans="1:5" x14ac:dyDescent="0.25">
      <c r="A226">
        <v>16224</v>
      </c>
      <c r="B226" t="s">
        <v>27</v>
      </c>
      <c r="C226" t="s">
        <v>182</v>
      </c>
      <c r="D226" t="str">
        <f>HYPERLINK("Https://www.gov.gr/ipiresies/georgia-kai-ktenotrophia/exagoges-agrotikon-proionton-kai-zonton-zoon/pistopoietiko-exagoges-suntheton-proionton-sto-kosobo","Πιστοποιητικό εξαγωγής σύνθετων προϊόντων στο Κόσοβο")</f>
        <v>Πιστοποιητικό εξαγωγής σύνθετων προϊόντων στο Κόσοβο</v>
      </c>
      <c r="E226" t="s">
        <v>22</v>
      </c>
    </row>
    <row r="227" spans="1:5" x14ac:dyDescent="0.25">
      <c r="A227">
        <v>16249</v>
      </c>
      <c r="B227" t="s">
        <v>27</v>
      </c>
      <c r="C227" t="s">
        <v>182</v>
      </c>
      <c r="D227" t="str">
        <f>HYPERLINK("Https://www.gov.gr/ipiresies/georgia-kai-ktenotrophia/exagoges-agrotikon-proionton-kai-zonton-zoon/pistopoietiko-exagoges-telikon-proionton-sten-armenia","Πιστοποιητικό εξαγωγής τελικών προϊόντων στην Αρμενία")</f>
        <v>Πιστοποιητικό εξαγωγής τελικών προϊόντων στην Αρμενία</v>
      </c>
      <c r="E227" t="s">
        <v>22</v>
      </c>
    </row>
    <row r="228" spans="1:5" x14ac:dyDescent="0.25">
      <c r="A228">
        <v>16225</v>
      </c>
      <c r="B228" t="s">
        <v>27</v>
      </c>
      <c r="C228" t="s">
        <v>182</v>
      </c>
      <c r="D228" t="str">
        <f>HYPERLINK("Https://www.gov.gr/ipiresies/georgia-kai-ktenotrophia/exagoges-agrotikon-proionton-kai-zonton-zoon/pistopoietiko-exagoges-khoirinou-kreatos-kai-proionton-paraproionton-tou-sten-armenia","Πιστοποιητικό εξαγωγής χοιρινού κρέατος και προϊόντων / παραπροϊόντων του στην Αρμενία")</f>
        <v>Πιστοποιητικό εξαγωγής χοιρινού κρέατος και προϊόντων / παραπροϊόντων του στην Αρμενία</v>
      </c>
      <c r="E228" t="s">
        <v>22</v>
      </c>
    </row>
    <row r="229" spans="1:5" x14ac:dyDescent="0.25">
      <c r="A229">
        <v>16226</v>
      </c>
      <c r="B229" t="s">
        <v>27</v>
      </c>
      <c r="C229" t="s">
        <v>182</v>
      </c>
      <c r="D229" t="str">
        <f>HYPERLINK("Https://www.gov.gr/ipiresies/georgia-kai-ktenotrophia/exagoges-agrotikon-proionton-kai-zonton-zoon/pistopoietiko-exagoges-khoiron-ektrophes-sten-albania","Πιστοποιητικό εξαγωγής χοίρων εκτροφής στην Αλβανία")</f>
        <v>Πιστοποιητικό εξαγωγής χοίρων εκτροφής στην Αλβανία</v>
      </c>
      <c r="E229" t="s">
        <v>22</v>
      </c>
    </row>
    <row r="230" spans="1:5" x14ac:dyDescent="0.25">
      <c r="A230">
        <v>16227</v>
      </c>
      <c r="B230" t="s">
        <v>27</v>
      </c>
      <c r="C230" t="s">
        <v>182</v>
      </c>
      <c r="D230" t="str">
        <f>HYPERLINK("Https://www.gov.gr/ipiresies/georgia-kai-ktenotrophia/exagoges-agrotikon-proionton-kai-zonton-zoon/pistopoietiko-exagoges-khoiron-sphages-ste-boreia-makedonia","Πιστοποιητικό εξαγωγής χοίρων σφαγής στη Βόρεια Μακεδονία")</f>
        <v>Πιστοποιητικό εξαγωγής χοίρων σφαγής στη Βόρεια Μακεδονία</v>
      </c>
      <c r="E230" t="s">
        <v>22</v>
      </c>
    </row>
    <row r="231" spans="1:5" x14ac:dyDescent="0.25">
      <c r="A231">
        <v>15647</v>
      </c>
      <c r="B231" t="s">
        <v>27</v>
      </c>
      <c r="C231" t="s">
        <v>122</v>
      </c>
      <c r="D231" t="str">
        <f>HYPERLINK("Https://www.gov.gr/ipiresies/georgia-kai-ktenotrophia/epidoteseis/apomakrusmene-upobole-agrotemakhion-eniaias-aiteses-eniskhuses","Απομακρυσμένη υποβολή αγροτεμαχίων ενιαίας αίτησης ενίσχυσης")</f>
        <v>Απομακρυσμένη υποβολή αγροτεμαχίων ενιαίας αίτησης ενίσχυσης</v>
      </c>
      <c r="E231" t="s">
        <v>123</v>
      </c>
    </row>
    <row r="232" spans="1:5" x14ac:dyDescent="0.25">
      <c r="A232">
        <v>15261</v>
      </c>
      <c r="B232" t="s">
        <v>27</v>
      </c>
      <c r="C232" t="s">
        <v>122</v>
      </c>
      <c r="D232" t="str">
        <f>HYPERLINK("Https://www.gov.gr/ipiresies/georgia-kai-ktenotrophia/epidoteseis/biologikes-kalliergeies-metro-11","Βιολογικές καλλιέργειες (Μέτρο 11)")</f>
        <v>Βιολογικές καλλιέργειες (Μέτρο 11)</v>
      </c>
      <c r="E232" t="s">
        <v>123</v>
      </c>
    </row>
    <row r="233" spans="1:5" x14ac:dyDescent="0.25">
      <c r="A233">
        <v>15287</v>
      </c>
      <c r="B233" t="s">
        <v>27</v>
      </c>
      <c r="C233" t="s">
        <v>122</v>
      </c>
      <c r="D233" t="str">
        <f>HYPERLINK("Https://www.gov.gr/ipiresies/georgia-kai-ktenotrophia/epidoteseis/demosiopoiese-pleromon-opekepe","Δημοσιοποίηση πληρωμών ΟΠΕΚΕΠΕ")</f>
        <v>Δημοσιοποίηση πληρωμών ΟΠΕΚΕΠΕ</v>
      </c>
      <c r="E233" t="s">
        <v>123</v>
      </c>
    </row>
    <row r="234" spans="1:5" x14ac:dyDescent="0.25">
      <c r="A234">
        <v>15293</v>
      </c>
      <c r="B234" t="s">
        <v>27</v>
      </c>
      <c r="C234" t="s">
        <v>122</v>
      </c>
      <c r="D234" t="str">
        <f>HYPERLINK("Https://www.gov.gr/ipiresies/georgia-kai-ktenotrophia/epidoteseis/diakheirise-bambakos-e-cotton","Διαχείριση βάμβακος (e-cotton)")</f>
        <v>Διαχείριση βάμβακος (e-cotton)</v>
      </c>
      <c r="E234" t="s">
        <v>123</v>
      </c>
    </row>
    <row r="235" spans="1:5" x14ac:dyDescent="0.25">
      <c r="A235">
        <v>15498</v>
      </c>
      <c r="B235" t="s">
        <v>27</v>
      </c>
      <c r="C235" t="s">
        <v>122</v>
      </c>
      <c r="D235" t="str">
        <f>HYPERLINK("Https://www.gov.gr/ipiresies/georgia-kai-ktenotrophia/epidoteseis/diakheirise-paradoseon-energeiakon-kalliergeion-biokausima","Διαχείριση παραδόσεων ενεργειακών καλλιεργειών (βιοκαύσιμα)")</f>
        <v>Διαχείριση παραδόσεων ενεργειακών καλλιεργειών (βιοκαύσιμα)</v>
      </c>
      <c r="E235" t="s">
        <v>123</v>
      </c>
    </row>
    <row r="236" spans="1:5" x14ac:dyDescent="0.25">
      <c r="A236">
        <v>15351</v>
      </c>
      <c r="B236" t="s">
        <v>27</v>
      </c>
      <c r="C236" t="s">
        <v>122</v>
      </c>
      <c r="D236" t="str">
        <f>HYPERLINK("Https://www.gov.gr/ipiresies/georgia-kai-ktenotrophia/epidoteseis/diakheirise-programmaton-gia-organoseis-elaiokomikon-phoreon-oeph","Διαχείριση προγραμμάτων για Οργανώσεις Ελαιοκομικών Φορέων (ΟΕΦ)")</f>
        <v>Διαχείριση προγραμμάτων για Οργανώσεις Ελαιοκομικών Φορέων (ΟΕΦ)</v>
      </c>
      <c r="E236" t="s">
        <v>123</v>
      </c>
    </row>
    <row r="237" spans="1:5" x14ac:dyDescent="0.25">
      <c r="A237">
        <v>15338</v>
      </c>
      <c r="B237" t="s">
        <v>27</v>
      </c>
      <c r="C237" t="s">
        <v>122</v>
      </c>
      <c r="D237" t="str">
        <f>HYPERLINK("Https://www.gov.gr/ipiresies/georgia-kai-ktenotrophia/epidoteseis/eae","Ενιαία αίτηση ενίσχυσης")</f>
        <v>Ενιαία αίτηση ενίσχυσης</v>
      </c>
      <c r="E237" t="s">
        <v>123</v>
      </c>
    </row>
    <row r="238" spans="1:5" x14ac:dyDescent="0.25">
      <c r="A238">
        <v>15397</v>
      </c>
      <c r="B238" t="s">
        <v>27</v>
      </c>
      <c r="C238" t="s">
        <v>122</v>
      </c>
      <c r="D238" t="str">
        <f>HYPERLINK("Https://www.gov.gr/ipiresies/georgia-kai-ktenotrophia/epidoteseis/kartela-agrote","Καρτέλα αγρότη")</f>
        <v>Καρτέλα αγρότη</v>
      </c>
      <c r="E238" t="s">
        <v>123</v>
      </c>
    </row>
    <row r="239" spans="1:5" x14ac:dyDescent="0.25">
      <c r="A239">
        <v>15429</v>
      </c>
      <c r="B239" t="s">
        <v>27</v>
      </c>
      <c r="C239" t="s">
        <v>122</v>
      </c>
      <c r="D239" t="str">
        <f>HYPERLINK("Https://www.gov.gr/ipiresies/georgia-kai-ktenotrophia/epidoteseis/metabibaseis-dikaiomaton-basikes-eniskhuses-2019","Μεταβιβάσεις δικαιωμάτων βασικής ενίσχυσης 2019")</f>
        <v>Μεταβιβάσεις δικαιωμάτων βασικής ενίσχυσης 2019</v>
      </c>
      <c r="E239" t="s">
        <v>123</v>
      </c>
    </row>
    <row r="240" spans="1:5" x14ac:dyDescent="0.25">
      <c r="A240">
        <v>15462</v>
      </c>
      <c r="B240" t="s">
        <v>27</v>
      </c>
      <c r="C240" t="s">
        <v>122</v>
      </c>
      <c r="D240" t="str">
        <f>HYPERLINK("Https://www.gov.gr/ipiresies/georgia-kai-ktenotrophia/epidoteseis/olokleromene-diakheirise-paragoges-sakkharoteutlon","Ολοκληρωμένη διαχείριση παραγωγής σακχαρότευτλων")</f>
        <v>Ολοκληρωμένη διαχείριση παραγωγής σακχαρότευτλων</v>
      </c>
      <c r="E240" t="s">
        <v>123</v>
      </c>
    </row>
    <row r="241" spans="1:5" x14ac:dyDescent="0.25">
      <c r="A241">
        <v>16019</v>
      </c>
      <c r="B241" t="s">
        <v>27</v>
      </c>
      <c r="C241" t="s">
        <v>30</v>
      </c>
      <c r="D241" t="str">
        <f>HYPERLINK("Https://www.gov.gr/ipiresies/georgia-kai-ktenotrophia/ktenotrophia/adeia-diakineses-aigon-kai-probaton","Άδεια διακίνησης αιγών και προβάτων")</f>
        <v>Άδεια διακίνησης αιγών και προβάτων</v>
      </c>
      <c r="E241" t="s">
        <v>31</v>
      </c>
    </row>
    <row r="242" spans="1:5" x14ac:dyDescent="0.25">
      <c r="A242">
        <v>16022</v>
      </c>
      <c r="B242" t="s">
        <v>27</v>
      </c>
      <c r="C242" t="s">
        <v>30</v>
      </c>
      <c r="D242" t="str">
        <f>HYPERLINK("Https://www.gov.gr/ipiresies/georgia-kai-ktenotrophia/ktenotrophia/adeia-diakineses-booeidon","Άδεια διακίνησης βοοειδών")</f>
        <v>Άδεια διακίνησης βοοειδών</v>
      </c>
      <c r="E242" t="s">
        <v>31</v>
      </c>
    </row>
    <row r="243" spans="1:5" x14ac:dyDescent="0.25">
      <c r="A243">
        <v>16024</v>
      </c>
      <c r="B243" t="s">
        <v>27</v>
      </c>
      <c r="C243" t="s">
        <v>30</v>
      </c>
      <c r="D243" t="str">
        <f>HYPERLINK("Https://www.gov.gr/ipiresies/georgia-kai-ktenotrophia/ktenotrophia/adeia-diakineses-khoiroeidon","Άδεια διακίνησης χοιροειδών")</f>
        <v>Άδεια διακίνησης χοιροειδών</v>
      </c>
      <c r="E243" t="s">
        <v>31</v>
      </c>
    </row>
    <row r="244" spans="1:5" x14ac:dyDescent="0.25">
      <c r="A244">
        <v>16125</v>
      </c>
      <c r="B244" t="s">
        <v>27</v>
      </c>
      <c r="C244" t="s">
        <v>30</v>
      </c>
      <c r="D244" t="str">
        <f>HYPERLINK("Https://www.gov.gr/ipiresies/georgia-kai-ktenotrophia/ktenotrophia/adeia-lianikes-poleses-kteniatrikon-pharmakeutikon-proionton","Άδεια λιανικής πώλησης κτηνιατρικών φαρμακευτικών προϊόντων")</f>
        <v>Άδεια λιανικής πώλησης κτηνιατρικών φαρμακευτικών προϊόντων</v>
      </c>
      <c r="E244" t="s">
        <v>31</v>
      </c>
    </row>
    <row r="245" spans="1:5" x14ac:dyDescent="0.25">
      <c r="A245">
        <v>16008</v>
      </c>
      <c r="B245" t="s">
        <v>27</v>
      </c>
      <c r="C245" t="s">
        <v>30</v>
      </c>
      <c r="D245" t="str">
        <f>HYPERLINK("Https://www.gov.gr/ipiresies/georgia-kai-ktenotrophia/ktenotrophia/adeia-khondrikes-poleses-kteniatrikon-pharmakon","Άδεια χονδρικής πώλησης κτηνιατρικών φαρμάκων")</f>
        <v>Άδεια χονδρικής πώλησης κτηνιατρικών φαρμάκων</v>
      </c>
      <c r="E245" t="s">
        <v>31</v>
      </c>
    </row>
    <row r="246" spans="1:5" x14ac:dyDescent="0.25">
      <c r="A246">
        <v>15197</v>
      </c>
      <c r="B246" t="s">
        <v>27</v>
      </c>
      <c r="C246" t="s">
        <v>30</v>
      </c>
      <c r="D246" t="str">
        <f>HYPERLINK("Https://www.gov.gr/ipiresies/georgia-kai-ktenotrophia/ktenotrophia/adeies-metaphoras-zonton-zoon","Άδειες μεταφοράς ζώντων ζώων")</f>
        <v>Άδειες μεταφοράς ζώντων ζώων</v>
      </c>
      <c r="E246" t="s">
        <v>22</v>
      </c>
    </row>
    <row r="247" spans="1:5" x14ac:dyDescent="0.25">
      <c r="A247">
        <v>16161</v>
      </c>
      <c r="B247" t="s">
        <v>27</v>
      </c>
      <c r="C247" t="s">
        <v>30</v>
      </c>
      <c r="D247" t="str">
        <f>HYPERLINK("Https://www.gov.gr/ipiresies/georgia-kai-ktenotrophia/ktenotrophia/aiteseis-gia-themata-agrotikes-kai-kteniatrikes-politikes","Αιτήσεις για θέματα αγροτικής και κτηνιατρικής πολιτικής")</f>
        <v>Αιτήσεις για θέματα αγροτικής και κτηνιατρικής πολιτικής</v>
      </c>
      <c r="E247" t="s">
        <v>31</v>
      </c>
    </row>
    <row r="248" spans="1:5" x14ac:dyDescent="0.25">
      <c r="A248">
        <v>16160</v>
      </c>
      <c r="B248" t="s">
        <v>27</v>
      </c>
      <c r="C248" t="s">
        <v>30</v>
      </c>
      <c r="D248" t="str">
        <f>HYPERLINK("Https://www.gov.gr/ipiresies/georgia-kai-ktenotrophia/ktenotrophia/aiteseis-gia-themata-agrotikes-oikonomias-kai-kteniatrikes","Αιτήσεις για θέματα αγροτικής οικονομίας και κτηνιατρικής")</f>
        <v>Αιτήσεις για θέματα αγροτικής οικονομίας και κτηνιατρικής</v>
      </c>
      <c r="E248" t="s">
        <v>31</v>
      </c>
    </row>
    <row r="249" spans="1:5" x14ac:dyDescent="0.25">
      <c r="A249">
        <v>15231</v>
      </c>
      <c r="B249" t="s">
        <v>27</v>
      </c>
      <c r="C249" t="s">
        <v>30</v>
      </c>
      <c r="D249" t="str">
        <f>HYPERLINK("Https://www.gov.gr/ipiresies/georgia-kai-ktenotrophia/ktenotrophia/apographe-aigoprobaton","Απογραφή αιγοπροβάτων")</f>
        <v>Απογραφή αιγοπροβάτων</v>
      </c>
      <c r="E249" t="s">
        <v>22</v>
      </c>
    </row>
    <row r="250" spans="1:5" x14ac:dyDescent="0.25">
      <c r="A250">
        <v>15232</v>
      </c>
      <c r="B250" t="s">
        <v>27</v>
      </c>
      <c r="C250" t="s">
        <v>30</v>
      </c>
      <c r="D250" t="str">
        <f>HYPERLINK("Https://www.gov.gr/ipiresies/georgia-kai-ktenotrophia/ktenotrophia/apographe-khoirinon","Απογραφή χοιρινών")</f>
        <v>Απογραφή χοιρινών</v>
      </c>
      <c r="E250" t="s">
        <v>22</v>
      </c>
    </row>
    <row r="251" spans="1:5" x14ac:dyDescent="0.25">
      <c r="A251">
        <v>15982</v>
      </c>
      <c r="B251" t="s">
        <v>27</v>
      </c>
      <c r="C251" t="s">
        <v>30</v>
      </c>
      <c r="D251" t="str">
        <f>HYPERLINK("Https://www.gov.gr/ipiresies/georgia-kai-ktenotrophia/ktenotrophia/autopsia-monadon-paragoges-zoikon-upoproionton","Αυτοψία μονάδων παραγωγής ζωικών υποπροϊόντων")</f>
        <v>Αυτοψία μονάδων παραγωγής ζωικών υποπροϊόντων</v>
      </c>
      <c r="E251" t="s">
        <v>31</v>
      </c>
    </row>
    <row r="252" spans="1:5" x14ac:dyDescent="0.25">
      <c r="A252">
        <v>16143</v>
      </c>
      <c r="B252" t="s">
        <v>27</v>
      </c>
      <c r="C252" t="s">
        <v>30</v>
      </c>
      <c r="D252" t="str">
        <f>HYPERLINK("Https://www.gov.gr/ipiresies/georgia-kai-ktenotrophia/ktenotrophia/bebaiose-adeia-katallelotetas-okhematos-metaphoras-proionton-zoikes-proeleuses","Βεβαίωση / άδεια καταλληλότητας οχήματος μεταφοράς προϊόντων ζωικής προέλευσης")</f>
        <v>Βεβαίωση / άδεια καταλληλότητας οχήματος μεταφοράς προϊόντων ζωικής προέλευσης</v>
      </c>
      <c r="E252" t="s">
        <v>34</v>
      </c>
    </row>
    <row r="253" spans="1:5" x14ac:dyDescent="0.25">
      <c r="A253">
        <v>15266</v>
      </c>
      <c r="B253" t="s">
        <v>27</v>
      </c>
      <c r="C253" t="s">
        <v>30</v>
      </c>
      <c r="D253" t="str">
        <f>HYPERLINK("Https://www.gov.gr/ipiresies/georgia-kai-ktenotrophia/ktenotrophia/genneseis-booeidon","Γεννήσεις βοοειδών")</f>
        <v>Γεννήσεις βοοειδών</v>
      </c>
      <c r="E253" t="s">
        <v>22</v>
      </c>
    </row>
    <row r="254" spans="1:5" x14ac:dyDescent="0.25">
      <c r="A254">
        <v>16463</v>
      </c>
      <c r="B254" t="s">
        <v>27</v>
      </c>
      <c r="C254" t="s">
        <v>30</v>
      </c>
      <c r="D254" t="str">
        <f>HYPERLINK("Https://www.gov.gr/ipiresies/georgia-kai-ktenotrophia/ktenotrophia/diagraphe-apo-to-melissokomiko-metroo","Διαγραφή από το μελισσοκομικό μητρώο")</f>
        <v>Διαγραφή από το μελισσοκομικό μητρώο</v>
      </c>
      <c r="E254" t="s">
        <v>41</v>
      </c>
    </row>
    <row r="255" spans="1:5" x14ac:dyDescent="0.25">
      <c r="A255">
        <v>16060</v>
      </c>
      <c r="B255" t="s">
        <v>27</v>
      </c>
      <c r="C255" t="s">
        <v>30</v>
      </c>
      <c r="D255" t="str">
        <f>HYPERLINK("Https://www.gov.gr/ipiresies/georgia-kai-ktenotrophia/ktenotrophia/diakope-leitourgias-e-allage-stoikheion-ekmetalleuses-aigoprobaton","Διακοπή λειτουργίας ή αλλαγή στοιχείων εκμετάλλευσης αιγοπροβάτων")</f>
        <v>Διακοπή λειτουργίας ή αλλαγή στοιχείων εκμετάλλευσης αιγοπροβάτων</v>
      </c>
      <c r="E255" t="s">
        <v>31</v>
      </c>
    </row>
    <row r="256" spans="1:5" x14ac:dyDescent="0.25">
      <c r="A256">
        <v>16162</v>
      </c>
      <c r="B256" t="s">
        <v>27</v>
      </c>
      <c r="C256" t="s">
        <v>30</v>
      </c>
      <c r="D256" t="str">
        <f>HYPERLINK("Https://www.gov.gr/ipiresies/georgia-kai-ktenotrophia/ktenotrophia/egkrise-eggraphe-egkatastaseon-kai-endiameson-tou-tomea-diatrophes-ton-zoon","Έγκριση / εγγραφή εγκαταστάσεων και ενδιάμεσων του τομέα διατροφής των ζώων")</f>
        <v>Έγκριση / εγγραφή εγκαταστάσεων και ενδιάμεσων του τομέα διατροφής των ζώων</v>
      </c>
      <c r="E256" t="s">
        <v>31</v>
      </c>
    </row>
    <row r="257" spans="1:5" x14ac:dyDescent="0.25">
      <c r="A257">
        <v>16030</v>
      </c>
      <c r="B257" t="s">
        <v>27</v>
      </c>
      <c r="C257" t="s">
        <v>30</v>
      </c>
      <c r="D257" t="str">
        <f>HYPERLINK("Https://www.gov.gr/ipiresies/georgia-kai-ktenotrophia/ktenotrophia/egkrise-agoras-enotion-gia-aigoprobata","Έγκριση αγοράς ενωτίων για αιγοπρόβατα")</f>
        <v>Έγκριση αγοράς ενωτίων για αιγοπρόβατα</v>
      </c>
      <c r="E257" t="s">
        <v>31</v>
      </c>
    </row>
    <row r="258" spans="1:5" x14ac:dyDescent="0.25">
      <c r="A258">
        <v>16031</v>
      </c>
      <c r="B258" t="s">
        <v>27</v>
      </c>
      <c r="C258" t="s">
        <v>30</v>
      </c>
      <c r="D258" t="str">
        <f>HYPERLINK("Https://www.gov.gr/ipiresies/georgia-kai-ktenotrophia/ktenotrophia/egkrise-agoras-enotion-gia-booeide","Έγκριση αγοράς ενωτίων για βοοειδή")</f>
        <v>Έγκριση αγοράς ενωτίων για βοοειδή</v>
      </c>
      <c r="E258" t="s">
        <v>31</v>
      </c>
    </row>
    <row r="259" spans="1:5" x14ac:dyDescent="0.25">
      <c r="A259">
        <v>16011</v>
      </c>
      <c r="B259" t="s">
        <v>27</v>
      </c>
      <c r="C259" t="s">
        <v>30</v>
      </c>
      <c r="D259" t="str">
        <f>HYPERLINK("Https://www.gov.gr/ipiresies/georgia-kai-ktenotrophia/ktenotrophia/egkrise-khreses-zoikon-upoproionton-zup-kai-arithmos-katakhorises-gia-ten-diakheirise-tous","Έγκριση χρήσης Ζωικών Υποπροϊόντων (ΖΥΠ) και αριθμός καταχώρισης για την διαχείρισή τους")</f>
        <v>Έγκριση χρήσης Ζωικών Υποπροϊόντων (ΖΥΠ) και αριθμός καταχώρισης για την διαχείρισή τους</v>
      </c>
      <c r="E259" t="s">
        <v>31</v>
      </c>
    </row>
    <row r="260" spans="1:5" x14ac:dyDescent="0.25">
      <c r="A260">
        <v>16465</v>
      </c>
      <c r="B260" t="s">
        <v>27</v>
      </c>
      <c r="C260" t="s">
        <v>30</v>
      </c>
      <c r="D260" t="str">
        <f>HYPERLINK("Https://www.gov.gr/ipiresies/georgia-kai-ktenotrophia/ktenotrophia/ekdose-melissokomikou-bibliariou","Έκδοση μελισσοκομικού βιβλιαρίου")</f>
        <v>Έκδοση μελισσοκομικού βιβλιαρίου</v>
      </c>
      <c r="E260" t="s">
        <v>41</v>
      </c>
    </row>
    <row r="261" spans="1:5" x14ac:dyDescent="0.25">
      <c r="A261">
        <v>15330</v>
      </c>
      <c r="B261" t="s">
        <v>27</v>
      </c>
      <c r="C261" t="s">
        <v>30</v>
      </c>
      <c r="D261" t="str">
        <f>HYPERLINK("Https://www.gov.gr/ipiresies/georgia-kai-ktenotrophia/ktenotrophia/embolia-katarroikou-puretou","Εμβόλια καταρροϊκού πυρετού")</f>
        <v>Εμβόλια καταρροϊκού πυρετού</v>
      </c>
      <c r="E261" t="s">
        <v>22</v>
      </c>
    </row>
    <row r="262" spans="1:5" x14ac:dyDescent="0.25">
      <c r="A262">
        <v>16029</v>
      </c>
      <c r="B262" t="s">
        <v>27</v>
      </c>
      <c r="C262" t="s">
        <v>30</v>
      </c>
      <c r="D262" t="str">
        <f>HYPERLINK("Https://www.gov.gr/ipiresies/georgia-kai-ktenotrophia/ktenotrophia/enarxe-ekmetalleuses-aigoprobaton","Έναρξη εκμετάλλευσης αιγοπροβάτων")</f>
        <v>Έναρξη εκμετάλλευσης αιγοπροβάτων</v>
      </c>
      <c r="E262" t="s">
        <v>31</v>
      </c>
    </row>
    <row r="263" spans="1:5" x14ac:dyDescent="0.25">
      <c r="A263">
        <v>16059</v>
      </c>
      <c r="B263" t="s">
        <v>27</v>
      </c>
      <c r="C263" t="s">
        <v>30</v>
      </c>
      <c r="D263" t="str">
        <f>HYPERLINK("Https://www.gov.gr/ipiresies/georgia-kai-ktenotrophia/ktenotrophia/enarxe-leitourgias-ekmetalleuses-booeidon","Έναρξη λειτουργίας εκμετάλλευσης βοοειδών")</f>
        <v>Έναρξη λειτουργίας εκμετάλλευσης βοοειδών</v>
      </c>
      <c r="E263" t="s">
        <v>31</v>
      </c>
    </row>
    <row r="264" spans="1:5" x14ac:dyDescent="0.25">
      <c r="A264">
        <v>16025</v>
      </c>
      <c r="B264" t="s">
        <v>27</v>
      </c>
      <c r="C264" t="s">
        <v>30</v>
      </c>
      <c r="D264" t="str">
        <f>HYPERLINK("Https://www.gov.gr/ipiresies/georgia-kai-ktenotrophia/ktenotrophia/exetase-zoou-gia-lussa","Εξέταση ζώου για λύσσα")</f>
        <v>Εξέταση ζώου για λύσσα</v>
      </c>
      <c r="E264" t="s">
        <v>31</v>
      </c>
    </row>
    <row r="265" spans="1:5" x14ac:dyDescent="0.25">
      <c r="A265">
        <v>15359</v>
      </c>
      <c r="B265" t="s">
        <v>27</v>
      </c>
      <c r="C265" t="s">
        <v>30</v>
      </c>
      <c r="D265" t="str">
        <f>HYPERLINK("Https://www.gov.gr/ipiresies/georgia-kai-ktenotrophia/ktenotrophia/zoa-suntrophias","Ζώα συντροφιάς")</f>
        <v>Ζώα συντροφιάς</v>
      </c>
      <c r="E265" t="s">
        <v>22</v>
      </c>
    </row>
    <row r="266" spans="1:5" x14ac:dyDescent="0.25">
      <c r="A266">
        <v>16006</v>
      </c>
      <c r="B266" t="s">
        <v>27</v>
      </c>
      <c r="C266" t="s">
        <v>30</v>
      </c>
      <c r="D266" t="str">
        <f>HYPERLINK("Https://www.gov.gr/ipiresies/georgia-kai-ktenotrophia/ktenotrophia/elektrodotese-ktenotrophikes-ptenotrophikes-ekmetalleuses","Ηλεκτροδότηση κτηνοτροφικής / πτηνοτροφικής εκμετάλλευσης")</f>
        <v>Ηλεκτροδότηση κτηνοτροφικής / πτηνοτροφικής εκμετάλλευσης</v>
      </c>
      <c r="E266" t="s">
        <v>31</v>
      </c>
    </row>
    <row r="267" spans="1:5" x14ac:dyDescent="0.25">
      <c r="A267">
        <v>16015</v>
      </c>
      <c r="B267" t="s">
        <v>27</v>
      </c>
      <c r="C267" t="s">
        <v>30</v>
      </c>
      <c r="D267" t="str">
        <f>HYPERLINK("Https://www.gov.gr/ipiresies/georgia-kai-ktenotrophia/ktenotrophia/katakhorise-sto-metroo-emporon-zoikon-proionton","Καταχώριση στο μητρώο εμπόρων ζωικών προϊόντων")</f>
        <v>Καταχώριση στο μητρώο εμπόρων ζωικών προϊόντων</v>
      </c>
      <c r="E267" t="s">
        <v>31</v>
      </c>
    </row>
    <row r="268" spans="1:5" x14ac:dyDescent="0.25">
      <c r="A268">
        <v>15984</v>
      </c>
      <c r="B268" t="s">
        <v>27</v>
      </c>
      <c r="C268" t="s">
        <v>30</v>
      </c>
      <c r="D268" t="str">
        <f>HYPERLINK("Https://www.gov.gr/ipiresies/georgia-kai-ktenotrophia/ktenotrophia/katakhorese-sto-metroo-epikheireseon-zoikon-upoproionton","Καταχώριση στο μητρώο επιχειρήσεων ζωικών υποπροϊόντων")</f>
        <v>Καταχώριση στο μητρώο επιχειρήσεων ζωικών υποπροϊόντων</v>
      </c>
      <c r="E268" t="s">
        <v>31</v>
      </c>
    </row>
    <row r="269" spans="1:5" x14ac:dyDescent="0.25">
      <c r="A269">
        <v>16192</v>
      </c>
      <c r="B269" t="s">
        <v>27</v>
      </c>
      <c r="C269" t="s">
        <v>30</v>
      </c>
      <c r="D269" t="str">
        <f>HYPERLINK("Https://www.gov.gr/ipiresies/georgia-kai-ktenotrophia/ktenotrophia/katokhe-kai-ektrophe-melissosmenon","Κατοχή και εκτροφή μελισσοσμηνών")</f>
        <v>Κατοχή και εκτροφή μελισσοσμηνών</v>
      </c>
      <c r="E269" t="s">
        <v>34</v>
      </c>
    </row>
    <row r="270" spans="1:5" x14ac:dyDescent="0.25">
      <c r="A270">
        <v>16335</v>
      </c>
      <c r="B270" t="s">
        <v>27</v>
      </c>
      <c r="C270" t="s">
        <v>30</v>
      </c>
      <c r="D270" t="str">
        <f>HYPERLINK("Https://www.gov.gr/ipiresies/georgia-kai-ktenotrophia/ktenotrophia/xrese-metapoiemenon-zoikon-proteinon-gia-paraskeue-zootrophon","Χρήση μεταποιημένων ζωικών πρωτεϊνών για παρασκευή ζωοτροφών")</f>
        <v>Χρήση μεταποιημένων ζωικών πρωτεϊνών για παρασκευή ζωοτροφών</v>
      </c>
      <c r="E270" t="s">
        <v>31</v>
      </c>
    </row>
    <row r="271" spans="1:5" x14ac:dyDescent="0.25">
      <c r="A271">
        <v>16048</v>
      </c>
      <c r="B271" t="s">
        <v>27</v>
      </c>
      <c r="C271" t="s">
        <v>81</v>
      </c>
      <c r="D271" t="str">
        <f>HYPERLINK("Https://www.gov.gr/ipiresies/georgia-kai-ktenotrophia/ktenotrophike-epikheirematikoteta/allage-pause-drasteriotetas-epikheireses-zootrophon","Αλλαγή / παύση δραστηριότητας επιχείρησης ζωοτροφών")</f>
        <v>Αλλαγή / παύση δραστηριότητας επιχείρησης ζωοτροφών</v>
      </c>
      <c r="E271" t="s">
        <v>31</v>
      </c>
    </row>
    <row r="272" spans="1:5" x14ac:dyDescent="0.25">
      <c r="A272">
        <v>16144</v>
      </c>
      <c r="B272" t="s">
        <v>27</v>
      </c>
      <c r="C272" t="s">
        <v>81</v>
      </c>
      <c r="D272" t="str">
        <f>HYPERLINK("Https://www.gov.gr/ipiresies/georgia-kai-ktenotrophia/ktenotrophike-epikheirematikoteta/deutere-exetase-kataskhemenon-trophimon-zoikes-proeleuses","Δεύτερη εξέταση κατασχεμένων τροφίμων ζωικής προέλευσης")</f>
        <v>Δεύτερη εξέταση κατασχεμένων τροφίμων ζωικής προέλευσης</v>
      </c>
      <c r="E272" t="s">
        <v>31</v>
      </c>
    </row>
    <row r="273" spans="1:5" x14ac:dyDescent="0.25">
      <c r="A273">
        <v>16067</v>
      </c>
      <c r="B273" t="s">
        <v>27</v>
      </c>
      <c r="C273" t="s">
        <v>81</v>
      </c>
      <c r="D273" t="str">
        <f>HYPERLINK("Https://www.gov.gr/ipiresies/georgia-kai-ktenotrophia/ktenotrophike-epikheirematikoteta/egkrise-okhematos-emporeumatokibotiou-metaphoras-zoikon-upoproionton-kai-paragogon-proionton","Έγκριση οχήματος / εμπορευματοκιβωτίου μεταφοράς ζωικών υποπροϊόντων και παραγώγων προϊόντων")</f>
        <v>Έγκριση οχήματος / εμπορευματοκιβωτίου μεταφοράς ζωικών υποπροϊόντων και παραγώγων προϊόντων</v>
      </c>
      <c r="E273" t="s">
        <v>31</v>
      </c>
    </row>
    <row r="274" spans="1:5" x14ac:dyDescent="0.25">
      <c r="A274">
        <v>16337</v>
      </c>
      <c r="B274" t="s">
        <v>27</v>
      </c>
      <c r="C274" t="s">
        <v>81</v>
      </c>
      <c r="D274" t="str">
        <f>HYPERLINK("Https://www.gov.gr/ipiresies/georgia-kai-ktenotrophia/ktenotrophike-epikheirematikoteta/egkrise-okhematos-gia-metaphora-zoon-8-12-ores","Έγκριση οχήματος για μεταφορά ζώων (8-12 ώρες)")</f>
        <v>Έγκριση οχήματος για μεταφορά ζώων (8-12 ώρες)</v>
      </c>
      <c r="E274" t="s">
        <v>31</v>
      </c>
    </row>
    <row r="275" spans="1:5" x14ac:dyDescent="0.25">
      <c r="A275">
        <v>16338</v>
      </c>
      <c r="B275" t="s">
        <v>27</v>
      </c>
      <c r="C275" t="s">
        <v>81</v>
      </c>
      <c r="D275" t="str">
        <f>HYPERLINK("Https://www.gov.gr/ipiresies/georgia-kai-ktenotrophia/ktenotrophike-epikheirematikoteta/egkrise-okhematos-gia-metaphora-zoon-os-8-ores","Έγκριση οχήματος για μεταφορά ζώων (ως 8 ώρες)")</f>
        <v>Έγκριση οχήματος για μεταφορά ζώων (ως 8 ώρες)</v>
      </c>
      <c r="E275" t="s">
        <v>31</v>
      </c>
    </row>
    <row r="276" spans="1:5" x14ac:dyDescent="0.25">
      <c r="A276">
        <v>16058</v>
      </c>
      <c r="B276" t="s">
        <v>27</v>
      </c>
      <c r="C276" t="s">
        <v>81</v>
      </c>
      <c r="D276" t="str">
        <f>HYPERLINK("Https://www.gov.gr/ipiresies/georgia-kai-ktenotrophia/ktenotrophike-epikheirematikoteta/elegkhos-eisagoges-exagoges-zootrophon","Έλεγχος εισαγωγής / εξαγωγής ζωοτροφών")</f>
        <v>Έλεγχος εισαγωγής / εξαγωγής ζωοτροφών</v>
      </c>
      <c r="E276" t="s">
        <v>31</v>
      </c>
    </row>
    <row r="277" spans="1:5" x14ac:dyDescent="0.25">
      <c r="A277">
        <v>16064</v>
      </c>
      <c r="B277" t="s">
        <v>27</v>
      </c>
      <c r="C277" t="s">
        <v>81</v>
      </c>
      <c r="D277" t="str">
        <f>HYPERLINK("Https://www.gov.gr/ipiresies/georgia-kai-ktenotrophia/ktenotrophike-epikheirematikoteta/exagoge-trophimon-zoikes-proeleuses","Εξαγωγή τροφίμων ζωικής προέλευσης")</f>
        <v>Εξαγωγή τροφίμων ζωικής προέλευσης</v>
      </c>
      <c r="E277" t="s">
        <v>31</v>
      </c>
    </row>
    <row r="278" spans="1:5" x14ac:dyDescent="0.25">
      <c r="A278">
        <v>16063</v>
      </c>
      <c r="B278" t="s">
        <v>27</v>
      </c>
      <c r="C278" t="s">
        <v>81</v>
      </c>
      <c r="D278" t="str">
        <f>HYPERLINK("Https://www.gov.gr/ipiresies/georgia-kai-ktenotrophia/ktenotrophike-epikheirematikoteta/exagoge-upoproionton-zoikes-proeleuses","Εξαγωγή υποπροϊόντων ζωικής προέλευσης")</f>
        <v>Εξαγωγή υποπροϊόντων ζωικής προέλευσης</v>
      </c>
      <c r="E278" t="s">
        <v>31</v>
      </c>
    </row>
    <row r="279" spans="1:5" x14ac:dyDescent="0.25">
      <c r="A279">
        <v>16145</v>
      </c>
      <c r="B279" t="s">
        <v>27</v>
      </c>
      <c r="C279" t="s">
        <v>81</v>
      </c>
      <c r="D279" t="str">
        <f>HYPERLINK("Https://www.gov.gr/ipiresies/georgia-kai-ktenotrophia/ktenotrophike-epikheirematikoteta/exetase-kataskhemenon-trophimon-zoikes-proeleuses","Εξέταση κατασχεμένων τροφίμων ζωικής προέλευσης")</f>
        <v>Εξέταση κατασχεμένων τροφίμων ζωικής προέλευσης</v>
      </c>
      <c r="E279" t="s">
        <v>31</v>
      </c>
    </row>
    <row r="280" spans="1:5" x14ac:dyDescent="0.25">
      <c r="A280">
        <v>16700</v>
      </c>
      <c r="B280" t="s">
        <v>27</v>
      </c>
      <c r="C280" t="s">
        <v>81</v>
      </c>
      <c r="D280" t="str">
        <f>HYPERLINK("Https://www.gov.gr/ipiresies/georgia-kai-ktenotrophia/ktenotrophike-epikheirematikoteta/psephiakes-uperesies-gia-melissokomous","Ψηφιακές Υπηρεσίες για Μελισσοκόμους")</f>
        <v>Ψηφιακές Υπηρεσίες για Μελισσοκόμους</v>
      </c>
      <c r="E280" t="s">
        <v>22</v>
      </c>
    </row>
    <row r="281" spans="1:5" x14ac:dyDescent="0.25">
      <c r="A281">
        <v>15195</v>
      </c>
      <c r="B281" t="s">
        <v>27</v>
      </c>
      <c r="C281" t="s">
        <v>28</v>
      </c>
      <c r="D281" t="str">
        <f>HYPERLINK("Https://www.gov.gr/ipiresies/georgia-kai-ktenotrophia/sunetairismoi/agrotikoi-sunetairismoi","Αγροτικοί συνεταιρισμοί")</f>
        <v>Αγροτικοί συνεταιρισμοί</v>
      </c>
      <c r="E281" t="s">
        <v>22</v>
      </c>
    </row>
    <row r="282" spans="1:5" x14ac:dyDescent="0.25">
      <c r="A282">
        <v>15282</v>
      </c>
      <c r="B282" t="s">
        <v>27</v>
      </c>
      <c r="C282" t="s">
        <v>150</v>
      </c>
      <c r="D282" t="str">
        <f>HYPERLINK("Https://www.gov.gr/ipiresies/georgia-kai-ktenotrophia/trophima/delose-paragoges-apothematon-epexergasias-emporias-oinou","Δήλωση παραγωγής / αποθεμάτων / επεξεργασίας - εμπορίας οίνου")</f>
        <v>Δήλωση παραγωγής / αποθεμάτων / επεξεργασίας - εμπορίας οίνου</v>
      </c>
      <c r="E282" t="s">
        <v>22</v>
      </c>
    </row>
    <row r="283" spans="1:5" x14ac:dyDescent="0.25">
      <c r="A283">
        <v>15460</v>
      </c>
      <c r="B283" t="s">
        <v>27</v>
      </c>
      <c r="C283" t="s">
        <v>150</v>
      </c>
      <c r="D283" t="str">
        <f>HYPERLINK("Https://www.gov.gr/ipiresies/georgia-kai-ktenotrophia/trophima/diakinese-kai-emporia-nopon-kai-eualloioton-agrotikon-proionton","Διακίνηση και εμπορία νωπών και ευαλλοίωτων αγροτικών προϊόντων")</f>
        <v>Διακίνηση και εμπορία νωπών και ευαλλοίωτων αγροτικών προϊόντων</v>
      </c>
      <c r="E283" t="s">
        <v>22</v>
      </c>
    </row>
    <row r="284" spans="1:5" x14ac:dyDescent="0.25">
      <c r="A284">
        <v>15412</v>
      </c>
      <c r="B284" t="s">
        <v>27</v>
      </c>
      <c r="C284" t="s">
        <v>150</v>
      </c>
      <c r="D284" t="str">
        <f>HYPERLINK("Https://www.gov.gr/ipiresies/georgia-kai-ktenotrophia/trophima/kentriko-elektroniko-metroo-oikotekhnias","Κεντρικό Ηλεκτρονικό Μητρώο Οικοτεχνίας")</f>
        <v>Κεντρικό Ηλεκτρονικό Μητρώο Οικοτεχνίας</v>
      </c>
      <c r="E284" t="s">
        <v>22</v>
      </c>
    </row>
    <row r="285" spans="1:5" x14ac:dyDescent="0.25">
      <c r="A285">
        <v>15485</v>
      </c>
      <c r="B285" t="s">
        <v>27</v>
      </c>
      <c r="C285" t="s">
        <v>150</v>
      </c>
      <c r="D285" t="str">
        <f>HYPERLINK("Https://www.gov.gr/ipiresies/georgia-kai-ktenotrophia/trophima/programma-dianomes-phrouton-lakhanikon-kai-galaktos-sta-skholeia","Πρόγραμμα διανομής φρούτων, λαχανικών και γάλακτος στα σχολεία")</f>
        <v>Πρόγραμμα διανομής φρούτων, λαχανικών και γάλακτος στα σχολεία</v>
      </c>
      <c r="E285" t="s">
        <v>123</v>
      </c>
    </row>
    <row r="286" spans="1:5" x14ac:dyDescent="0.25">
      <c r="A286">
        <v>15212</v>
      </c>
      <c r="B286" t="s">
        <v>27</v>
      </c>
      <c r="C286" t="s">
        <v>150</v>
      </c>
      <c r="D286" t="str">
        <f>HYPERLINK("Https://www.gov.gr/ipiresies/georgia-kai-ktenotrophia/trophima/programmata-ependuseon-gia-oinopoietikes-epikheireseis","Προγράμματα επενδύσεων για οινοποιητικές επιχειρήσεις")</f>
        <v>Προγράμματα επενδύσεων για οινοποιητικές επιχειρήσεις</v>
      </c>
      <c r="E286" t="s">
        <v>22</v>
      </c>
    </row>
    <row r="287" spans="1:5" x14ac:dyDescent="0.25">
      <c r="A287">
        <v>15513</v>
      </c>
      <c r="B287" t="s">
        <v>27</v>
      </c>
      <c r="C287" t="s">
        <v>150</v>
      </c>
      <c r="D287" t="str">
        <f>HYPERLINK("Https://www.gov.gr/ipiresies/georgia-kai-ktenotrophia/trophima/times-turion-khondrikes","Τιμές τυριών χονδρικής")</f>
        <v>Τιμές τυριών χονδρικής</v>
      </c>
      <c r="E287" t="s">
        <v>22</v>
      </c>
    </row>
    <row r="288" spans="1:5" x14ac:dyDescent="0.25">
      <c r="A288">
        <v>15665</v>
      </c>
      <c r="B288" t="s">
        <v>61</v>
      </c>
      <c r="C288" t="s">
        <v>62</v>
      </c>
      <c r="D288" t="str">
        <f>HYPERLINK("Https://www.gov.gr/ipiresies/dikaiosune/diaphores-me-to-demosio/aitese-exodikes-anagnorises-apaiteseon-sumbibastikes-epiluses-diaphoron-me-to-demosio","Αίτηση εξώδικης αναγνώρισης απαιτήσεων / συμβιβαστικής επίλυσης διαφορών με το Δημόσιο")</f>
        <v>Αίτηση εξώδικης αναγνώρισης απαιτήσεων / συμβιβαστικής επίλυσης διαφορών με το Δημόσιο</v>
      </c>
      <c r="E288" t="s">
        <v>63</v>
      </c>
    </row>
    <row r="289" spans="1:5" x14ac:dyDescent="0.25">
      <c r="A289">
        <v>15662</v>
      </c>
      <c r="B289" t="s">
        <v>61</v>
      </c>
      <c r="C289" t="s">
        <v>94</v>
      </c>
      <c r="D289" t="str">
        <f>HYPERLINK("Https://www.gov.gr/ipiresies/dikaiosune/dikasteria/anazetese-deltion-nomologiakes-kai-bibliographikes-enemeroses-dnbe","Αναζήτηση Δελτίων Νομολογιακής και Βιβλιογραφικής Ενημέρωσης (ΔΝΒΕ)")</f>
        <v>Αναζήτηση Δελτίων Νομολογιακής και Βιβλιογραφικής Ενημέρωσης (ΔΝΒΕ)</v>
      </c>
      <c r="E289" t="s">
        <v>95</v>
      </c>
    </row>
    <row r="290" spans="1:5" x14ac:dyDescent="0.25">
      <c r="A290">
        <v>15661</v>
      </c>
      <c r="B290" t="s">
        <v>61</v>
      </c>
      <c r="C290" t="s">
        <v>94</v>
      </c>
      <c r="D290" t="str">
        <f>HYPERLINK("Https://www.gov.gr/ipiresies/dikaiosune/dikasteria/anazetese-ekthematon","Αναζήτηση εκθεμάτων")</f>
        <v>Αναζήτηση εκθεμάτων</v>
      </c>
      <c r="E290" t="s">
        <v>95</v>
      </c>
    </row>
    <row r="291" spans="1:5" x14ac:dyDescent="0.25">
      <c r="A291">
        <v>15664</v>
      </c>
      <c r="B291" t="s">
        <v>61</v>
      </c>
      <c r="C291" t="s">
        <v>94</v>
      </c>
      <c r="D291" t="str">
        <f>HYPERLINK("Https://www.gov.gr/ipiresies/dikaiosune/dikasteria/anazetese-nomologias","Αναζήτηση νομολογίας")</f>
        <v>Αναζήτηση νομολογίας</v>
      </c>
      <c r="E291" t="s">
        <v>95</v>
      </c>
    </row>
    <row r="292" spans="1:5" x14ac:dyDescent="0.25">
      <c r="A292">
        <v>16823</v>
      </c>
      <c r="B292" t="s">
        <v>61</v>
      </c>
      <c r="C292" t="s">
        <v>94</v>
      </c>
      <c r="D292" t="str">
        <f>HYPERLINK("Https://www.gov.gr/ipiresies/dikaiosune/dikasteria/pinakia-poinikes-diadikasias","Εκθέματα Ποινικής Διαδικασίας")</f>
        <v>Εκθέματα Ποινικής Διαδικασίας</v>
      </c>
      <c r="E292" t="s">
        <v>111</v>
      </c>
    </row>
    <row r="293" spans="1:5" x14ac:dyDescent="0.25">
      <c r="A293">
        <v>16373</v>
      </c>
      <c r="B293" t="s">
        <v>61</v>
      </c>
      <c r="C293" t="s">
        <v>94</v>
      </c>
      <c r="D293" t="str">
        <f>HYPERLINK("Https://www.gov.gr/ipiresies/dikaiosune/dikasteria/eniaio-pistopoietiko-dikastikes-pheregguotetas","Ενιαίο πιστοποιητικό δικαστικής φερεγγυότητας")</f>
        <v>Ενιαίο πιστοποιητικό δικαστικής φερεγγυότητας</v>
      </c>
      <c r="E293" t="s">
        <v>111</v>
      </c>
    </row>
    <row r="294" spans="1:5" x14ac:dyDescent="0.25">
      <c r="A294">
        <v>16824</v>
      </c>
      <c r="B294" t="s">
        <v>61</v>
      </c>
      <c r="C294" t="s">
        <v>94</v>
      </c>
      <c r="D294" t="str">
        <f>HYPERLINK("Https://www.gov.gr/ipiresies/dikaiosune/dikasteria/epaletheuse-pistopoietikon","Επαλήθευση Πιστοποιητικών Δικαστηρίων")</f>
        <v>Επαλήθευση Πιστοποιητικών Δικαστηρίων</v>
      </c>
      <c r="E294" t="s">
        <v>111</v>
      </c>
    </row>
    <row r="295" spans="1:5" x14ac:dyDescent="0.25">
      <c r="A295">
        <v>16342</v>
      </c>
      <c r="B295" t="s">
        <v>61</v>
      </c>
      <c r="C295" t="s">
        <v>94</v>
      </c>
      <c r="D295" t="str">
        <f>HYPERLINK("Https://www.gov.gr/ipiresies/dikaiosune/dikasteria/elektronikes-dikastikes-apophaseis","Ηλεκτρονικές δικαστικές αποφάσεις")</f>
        <v>Ηλεκτρονικές δικαστικές αποφάσεις</v>
      </c>
      <c r="E295" t="s">
        <v>111</v>
      </c>
    </row>
    <row r="296" spans="1:5" x14ac:dyDescent="0.25">
      <c r="A296">
        <v>16821</v>
      </c>
      <c r="B296" t="s">
        <v>61</v>
      </c>
      <c r="C296" t="s">
        <v>94</v>
      </c>
      <c r="D296" t="str">
        <f>HYPERLINK("Https://www.gov.gr/ipiresies/dikaiosune/dikasteria/parakolouthese-dikastikon-upotheseon","Παρακολούθηση δικαστικών υποθέσεων")</f>
        <v>Παρακολούθηση δικαστικών υποθέσεων</v>
      </c>
      <c r="E296" t="s">
        <v>111</v>
      </c>
    </row>
    <row r="297" spans="1:5" x14ac:dyDescent="0.25">
      <c r="A297">
        <v>15663</v>
      </c>
      <c r="B297" t="s">
        <v>61</v>
      </c>
      <c r="C297" t="s">
        <v>94</v>
      </c>
      <c r="D297" t="str">
        <f>HYPERLINK("Https://www.gov.gr/ipiresies/dikaiosune/dikasteria/parakolouthese-upotheses","Παρακολούθηση υπόθεσης")</f>
        <v>Παρακολούθηση υπόθεσης</v>
      </c>
      <c r="E297" t="s">
        <v>95</v>
      </c>
    </row>
    <row r="298" spans="1:5" x14ac:dyDescent="0.25">
      <c r="A298">
        <v>16822</v>
      </c>
      <c r="B298" t="s">
        <v>61</v>
      </c>
      <c r="C298" t="s">
        <v>94</v>
      </c>
      <c r="D298" t="str">
        <f>HYPERLINK("Https://www.gov.gr/ipiresies/dikaiosune/dikasteria/pinakia-politikes-diadikasias","Πινάκια Πολιτικής Διαδικασίας")</f>
        <v>Πινάκια Πολιτικής Διαδικασίας</v>
      </c>
      <c r="E298" t="s">
        <v>111</v>
      </c>
    </row>
    <row r="299" spans="1:5" x14ac:dyDescent="0.25">
      <c r="A299">
        <v>15581</v>
      </c>
      <c r="B299" t="s">
        <v>61</v>
      </c>
      <c r="C299" t="s">
        <v>94</v>
      </c>
      <c r="D299" t="str">
        <f>HYPERLINK("Https://www.gov.gr/ipiresies/dikaiosune/dikasteria/pistopoietika-dikasterion","Πιστοποιητικά δικαστηρίων")</f>
        <v>Πιστοποιητικά δικαστηρίων</v>
      </c>
      <c r="E299" t="s">
        <v>111</v>
      </c>
    </row>
    <row r="300" spans="1:5" x14ac:dyDescent="0.25">
      <c r="A300">
        <v>15863</v>
      </c>
      <c r="B300" t="s">
        <v>61</v>
      </c>
      <c r="C300" t="s">
        <v>94</v>
      </c>
      <c r="D300" t="str">
        <f>HYPERLINK("Https://www.gov.gr/ipiresies/dikaiosune/dikasteria/pistopoietiko-peri-me-dioxeos-os-phugopoinou","Πιστοποιητικό περί μη δίωξης ως φυγόποινου")</f>
        <v>Πιστοποιητικό περί μη δίωξης ως φυγόποινου</v>
      </c>
      <c r="E300" t="s">
        <v>111</v>
      </c>
    </row>
    <row r="301" spans="1:5" x14ac:dyDescent="0.25">
      <c r="A301">
        <v>15862</v>
      </c>
      <c r="B301" t="s">
        <v>61</v>
      </c>
      <c r="C301" t="s">
        <v>94</v>
      </c>
      <c r="D301" t="str">
        <f>HYPERLINK("Https://www.gov.gr/ipiresies/dikaiosune/dikasteria/pistopoietiko-peri-me-theses-se-dikastike-sumparastase-proen-dikastike-apagoreuse-e-antilepse","Πιστοποιητικό περί μη θέσης σε δικαστική συμπαράσταση (πρώην δικαστική απαγόρευση ή αντίληψη)")</f>
        <v>Πιστοποιητικό περί μη θέσης σε δικαστική συμπαράσταση (πρώην δικαστική απαγόρευση ή αντίληψη)</v>
      </c>
      <c r="E301" t="s">
        <v>111</v>
      </c>
    </row>
    <row r="302" spans="1:5" x14ac:dyDescent="0.25">
      <c r="A302">
        <v>15866</v>
      </c>
      <c r="B302" t="s">
        <v>61</v>
      </c>
      <c r="C302" t="s">
        <v>94</v>
      </c>
      <c r="D302" t="str">
        <f>HYPERLINK("Https://www.gov.gr/ipiresies/dikaiosune/dikasteria/pistopoietiko-peri-me-prosboles-tou-kurous-arkhairesion-somateion-e-sullogon","Πιστοποιητικό περί μη προσβολής του κύρους αρχαιρεσιών σωματείων ή συλλόγων")</f>
        <v>Πιστοποιητικό περί μη προσβολής του κύρους αρχαιρεσιών σωματείων ή συλλόγων</v>
      </c>
      <c r="E302" t="s">
        <v>111</v>
      </c>
    </row>
    <row r="303" spans="1:5" x14ac:dyDescent="0.25">
      <c r="A303">
        <v>15865</v>
      </c>
      <c r="B303" t="s">
        <v>61</v>
      </c>
      <c r="C303" t="s">
        <v>94</v>
      </c>
      <c r="D303" t="str">
        <f>HYPERLINK("Https://www.gov.gr/ipiresies/dikaiosune/dikasteria/pistopoietiko-peri-me-tropopoieses-katastatikou-sunetairismou","Πιστοποιητικό περί μη τροποποίησης καταστατικού συνεταιρισμού")</f>
        <v>Πιστοποιητικό περί μη τροποποίησης καταστατικού συνεταιρισμού</v>
      </c>
      <c r="E303" t="s">
        <v>111</v>
      </c>
    </row>
    <row r="304" spans="1:5" x14ac:dyDescent="0.25">
      <c r="A304">
        <v>16412</v>
      </c>
      <c r="B304" t="s">
        <v>61</v>
      </c>
      <c r="C304" t="s">
        <v>94</v>
      </c>
      <c r="D304" t="str">
        <f>HYPERLINK("Https://www.gov.gr/ipiresies/dikaiosune/dikasteria/plerophorese-stadiou-poinikes-dikographias-roe-menuses","Πληροφόρηση σταδίου ποινικής δικογραφίας (ροή μήνυσης)")</f>
        <v>Πληροφόρηση σταδίου ποινικής δικογραφίας (ροή μήνυσης)</v>
      </c>
      <c r="E304" t="s">
        <v>111</v>
      </c>
    </row>
    <row r="305" spans="1:5" x14ac:dyDescent="0.25">
      <c r="A305">
        <v>16582</v>
      </c>
      <c r="B305" t="s">
        <v>61</v>
      </c>
      <c r="C305" t="s">
        <v>94</v>
      </c>
      <c r="D305" t="str">
        <f>HYPERLINK("Https://www.gov.gr/ipiresies/dikaiosune/dikasteria/poreia-dikon-sto-protodikeio-athenon","Πορεία δικών στο Πρωτοδικείο Αθηνών")</f>
        <v>Πορεία δικών στο Πρωτοδικείο Αθηνών</v>
      </c>
      <c r="E305" t="s">
        <v>111</v>
      </c>
    </row>
    <row r="306" spans="1:5" x14ac:dyDescent="0.25">
      <c r="A306">
        <v>15226</v>
      </c>
      <c r="B306" t="s">
        <v>61</v>
      </c>
      <c r="C306" t="s">
        <v>112</v>
      </c>
      <c r="D306" t="str">
        <f>HYPERLINK("Https://www.gov.gr/ipiresies/dikaiosune/dikographa/antigrapho-praktikon-upotheses","Αντίγραφο πρακτικών υπόθεσης")</f>
        <v>Αντίγραφο πρακτικών υπόθεσης</v>
      </c>
      <c r="E306" t="s">
        <v>111</v>
      </c>
    </row>
    <row r="307" spans="1:5" x14ac:dyDescent="0.25">
      <c r="A307">
        <v>15656</v>
      </c>
      <c r="B307" t="s">
        <v>61</v>
      </c>
      <c r="C307" t="s">
        <v>112</v>
      </c>
      <c r="D307" t="str">
        <f>HYPERLINK("Https://www.gov.gr/ipiresies/dikaiosune/dikographa/elektronike-katathese-dikographon-sumboulio-tes-epikrateias-dioiketika-dikasteria","Ηλεκτρονική κατάθεση δικογράφων (Συμβούλιο της Επικρατείας / Διοικητικά Δικαστήρια)")</f>
        <v>Ηλεκτρονική κατάθεση δικογράφων (Συμβούλιο της Επικρατείας / Διοικητικά Δικαστήρια)</v>
      </c>
      <c r="E307" t="s">
        <v>178</v>
      </c>
    </row>
    <row r="308" spans="1:5" x14ac:dyDescent="0.25">
      <c r="A308">
        <v>15657</v>
      </c>
      <c r="B308" t="s">
        <v>61</v>
      </c>
      <c r="C308" t="s">
        <v>112</v>
      </c>
      <c r="D308" t="str">
        <f>HYPERLINK("Https://www.gov.gr/ipiresies/dikaiosune/dikographa/elektronike-katathese-dikographon-politika-poinika-dikasteria","Ηλεκτρονική κατάθεση Δικογράφων/Ενδίκων μέσων/Προτάσεων (Πολιτικά Δικαστήρια)")</f>
        <v>Ηλεκτρονική κατάθεση Δικογράφων/Ενδίκων μέσων/Προτάσεων (Πολιτικά Δικαστήρια)</v>
      </c>
      <c r="E308" t="s">
        <v>178</v>
      </c>
    </row>
    <row r="309" spans="1:5" x14ac:dyDescent="0.25">
      <c r="A309">
        <v>15686</v>
      </c>
      <c r="B309" t="s">
        <v>61</v>
      </c>
      <c r="C309" t="s">
        <v>139</v>
      </c>
      <c r="D309" t="str">
        <f>HYPERLINK("Https://www.gov.gr/ipiresies/dikaiosune/katastemata-krateses/bebaiose-ethikou-peitharkhikou-elegkhou-apophulakismenon","Βεβαίωση ηθικού / πειθαρχικού ελέγχου αποφυλακισμένων")</f>
        <v>Βεβαίωση ηθικού / πειθαρχικού ελέγχου αποφυλακισμένων</v>
      </c>
      <c r="E309" t="s">
        <v>111</v>
      </c>
    </row>
    <row r="310" spans="1:5" x14ac:dyDescent="0.25">
      <c r="A310">
        <v>15497</v>
      </c>
      <c r="B310" t="s">
        <v>61</v>
      </c>
      <c r="C310" t="s">
        <v>139</v>
      </c>
      <c r="D310" t="str">
        <f>HYPERLINK("Https://www.gov.gr/ipiresies/dikaiosune/katastemata-krateses/ekpaideuse-apophulakismenon","Εκπαίδευση αποφυλακισμένων")</f>
        <v>Εκπαίδευση αποφυλακισμένων</v>
      </c>
      <c r="E310" t="s">
        <v>111</v>
      </c>
    </row>
    <row r="311" spans="1:5" x14ac:dyDescent="0.25">
      <c r="A311">
        <v>15689</v>
      </c>
      <c r="B311" t="s">
        <v>61</v>
      </c>
      <c r="C311" t="s">
        <v>139</v>
      </c>
      <c r="D311" t="str">
        <f>HYPERLINK("Https://www.gov.gr/ipiresies/dikaiosune/katastemata-krateses/epaletheuse-elektronikon-eggraphon-katastematon-krateses","Επαλήθευση ηλεκτρονικών εγγράφων καταστημάτων κράτησης")</f>
        <v>Επαλήθευση ηλεκτρονικών εγγράφων καταστημάτων κράτησης</v>
      </c>
      <c r="E311" t="s">
        <v>111</v>
      </c>
    </row>
    <row r="312" spans="1:5" x14ac:dyDescent="0.25">
      <c r="A312">
        <v>15687</v>
      </c>
      <c r="B312" t="s">
        <v>61</v>
      </c>
      <c r="C312" t="s">
        <v>139</v>
      </c>
      <c r="D312" t="str">
        <f>HYPERLINK("Https://www.gov.gr/ipiresies/dikaiosune/katastemata-krateses/iatrikes-bebaioseis-apophulakismenon","Ιατρικές βεβαιώσεις αποφυλακισμένων")</f>
        <v>Ιατρικές βεβαιώσεις αποφυλακισμένων</v>
      </c>
      <c r="E312" t="s">
        <v>111</v>
      </c>
    </row>
    <row r="313" spans="1:5" x14ac:dyDescent="0.25">
      <c r="A313">
        <v>15685</v>
      </c>
      <c r="B313" t="s">
        <v>61</v>
      </c>
      <c r="C313" t="s">
        <v>139</v>
      </c>
      <c r="D313" t="str">
        <f>HYPERLINK("Https://www.gov.gr/ipiresies/dikaiosune/katastemata-krateses/pistopoietiko-krateses-apophulakismenon","Πιστοποιητικό κράτησης αποφυλακισμένων")</f>
        <v>Πιστοποιητικό κράτησης αποφυλακισμένων</v>
      </c>
      <c r="E313" t="s">
        <v>111</v>
      </c>
    </row>
    <row r="314" spans="1:5" x14ac:dyDescent="0.25">
      <c r="A314">
        <v>15688</v>
      </c>
      <c r="B314" t="s">
        <v>61</v>
      </c>
      <c r="C314" t="s">
        <v>139</v>
      </c>
      <c r="D314" t="str">
        <f>HYPERLINK("Https://www.gov.gr/ipiresies/dikaiosune/katastemata-krateses/programmatismos-episkepteriou-se-katastema-krateses","Προγραμματισμός επισκεπτηρίου σε κατάστημα κράτησης")</f>
        <v>Προγραμματισμός επισκεπτηρίου σε κατάστημα κράτησης</v>
      </c>
      <c r="E314" t="s">
        <v>111</v>
      </c>
    </row>
    <row r="315" spans="1:5" x14ac:dyDescent="0.25">
      <c r="A315">
        <v>15392</v>
      </c>
      <c r="B315" t="s">
        <v>61</v>
      </c>
      <c r="C315" t="s">
        <v>139</v>
      </c>
      <c r="D315" t="str">
        <f>HYPERLINK("Https://www.gov.gr/ipiresies/dikaiosune/katastemata-krateses/prosorine-diamone-apophulakismenon","Προσωρινή διαμονή αποφυλακισμένων")</f>
        <v>Προσωρινή διαμονή αποφυλακισμένων</v>
      </c>
      <c r="E315" t="s">
        <v>111</v>
      </c>
    </row>
    <row r="316" spans="1:5" x14ac:dyDescent="0.25">
      <c r="A316">
        <v>15384</v>
      </c>
      <c r="B316" t="s">
        <v>61</v>
      </c>
      <c r="C316" t="s">
        <v>110</v>
      </c>
      <c r="D316" t="str">
        <f>HYPERLINK("Https://www.gov.gr/ipiresies/dikaiosune/poiniko-metroo/antigrapho-poinikou-metroou","Αντίγραφο Ποινικού Μητρώου")</f>
        <v>Αντίγραφο Ποινικού Μητρώου</v>
      </c>
      <c r="E316" t="s">
        <v>111</v>
      </c>
    </row>
    <row r="317" spans="1:5" x14ac:dyDescent="0.25">
      <c r="A317">
        <v>15203</v>
      </c>
      <c r="B317" t="s">
        <v>52</v>
      </c>
      <c r="C317" t="s">
        <v>92</v>
      </c>
      <c r="D317" t="str">
        <f>HYPERLINK("Https://www.gov.gr/ipiresies/ekpaideuse/anagnorise-titlou-spoudon/anagnorise-ptukhiou","Αναγνώριση πτυχίου")</f>
        <v>Αναγνώριση πτυχίου</v>
      </c>
      <c r="E317" t="s">
        <v>93</v>
      </c>
    </row>
    <row r="318" spans="1:5" x14ac:dyDescent="0.25">
      <c r="A318">
        <v>15648</v>
      </c>
      <c r="B318" t="s">
        <v>52</v>
      </c>
      <c r="C318" t="s">
        <v>92</v>
      </c>
      <c r="D318" t="str">
        <f>HYPERLINK("Https://www.gov.gr/ipiresies/ekpaideuse/anagnorise-titlou-spoudon/bebaiose-pistopoieses-apophoiton-iek","Βεβαίωση πιστοποίησης αποφοίτων ΙΕΚ")</f>
        <v>Βεβαίωση πιστοποίησης αποφοίτων ΙΕΚ</v>
      </c>
      <c r="E318" t="s">
        <v>142</v>
      </c>
    </row>
    <row r="319" spans="1:5" x14ac:dyDescent="0.25">
      <c r="A319">
        <v>15612</v>
      </c>
      <c r="B319" t="s">
        <v>52</v>
      </c>
      <c r="C319" t="s">
        <v>92</v>
      </c>
      <c r="D319" t="str">
        <f>HYPERLINK("Https://www.gov.gr/ipiresies/ekpaideuse/anagnorise-titlou-spoudon/exetaseis-pistopoieses-apophoiton-iek","Εξετάσεις πιστοποίησης αποφοίτων ΙΕΚ")</f>
        <v>Εξετάσεις πιστοποίησης αποφοίτων ΙΕΚ</v>
      </c>
      <c r="E319" t="s">
        <v>142</v>
      </c>
    </row>
    <row r="320" spans="1:5" x14ac:dyDescent="0.25">
      <c r="A320">
        <v>16420</v>
      </c>
      <c r="B320" t="s">
        <v>52</v>
      </c>
      <c r="C320" t="s">
        <v>191</v>
      </c>
      <c r="D320" t="str">
        <f>HYPERLINK("Https://www.gov.gr/ipiresies/ekpaideuse/apophoitese-apo-skholeio/psephiako-apoluterio-gumnasiou-lukeiou","Ψηφιακό απολυτήριο Γυμνασίου / Λυκείου")</f>
        <v>Ψηφιακό απολυτήριο Γυμνασίου / Λυκείου</v>
      </c>
      <c r="E320" t="s">
        <v>54</v>
      </c>
    </row>
    <row r="321" spans="1:5" x14ac:dyDescent="0.25">
      <c r="A321">
        <v>16421</v>
      </c>
      <c r="B321" t="s">
        <v>52</v>
      </c>
      <c r="C321" t="s">
        <v>191</v>
      </c>
      <c r="D321" t="str">
        <f>HYPERLINK("Https://www.gov.gr/ipiresies/ekpaideuse/apophoitese-apo-skholeio/psephiako-ptukhio-epaggelmatikou-lukeiou-epal","Ψηφιακό πτυχίο Επαγγελματικού Λυκείου (ΕΠΑΛ)")</f>
        <v>Ψηφιακό πτυχίο Επαγγελματικού Λυκείου (ΕΠΑΛ)</v>
      </c>
      <c r="E321" t="s">
        <v>54</v>
      </c>
    </row>
    <row r="322" spans="1:5" x14ac:dyDescent="0.25">
      <c r="A322">
        <v>15724</v>
      </c>
      <c r="B322" t="s">
        <v>52</v>
      </c>
      <c r="C322" t="s">
        <v>165</v>
      </c>
      <c r="D322" t="str">
        <f>HYPERLINK("Https://www.gov.gr/ipiresies/ekpaideuse/eggraphe-se-brephiko-kai-paidiko-stathmo/eggraphe-se-brephonepiako-stathmo-tes-demosias-uperesias-apaskholeses-d-up","Εγγραφή σε βρεφονηπιακό σταθμό της Δημόσιας Υπηρεσίας Απασχόλησης (Δ.ΥΠ.Α.)")</f>
        <v>Εγγραφή σε βρεφονηπιακό σταθμό της Δημόσιας Υπηρεσίας Απασχόλησης (Δ.ΥΠ.Α.)</v>
      </c>
      <c r="E322" t="s">
        <v>66</v>
      </c>
    </row>
    <row r="323" spans="1:5" x14ac:dyDescent="0.25">
      <c r="A323">
        <v>15747</v>
      </c>
      <c r="B323" t="s">
        <v>52</v>
      </c>
      <c r="C323" t="s">
        <v>165</v>
      </c>
      <c r="D323" t="str">
        <f>HYPERLINK("Https://www.gov.gr/ipiresies/ekpaideuse/eggraphe-se-brephiko-kai-paidiko-stathmo/oikonomike-eniskhuse-voucher-gia-ten-eggraphe-se-paidiko-stathmo","Οικονομική ενίσχυση (voucher) για την εγγραφή σε παιδικό σταθμό")</f>
        <v>Οικονομική ενίσχυση (voucher) για την εγγραφή σε παιδικό σταθμό</v>
      </c>
      <c r="E323" t="s">
        <v>184</v>
      </c>
    </row>
    <row r="324" spans="1:5" x14ac:dyDescent="0.25">
      <c r="A324">
        <v>15779</v>
      </c>
      <c r="B324" t="s">
        <v>52</v>
      </c>
      <c r="C324" t="s">
        <v>165</v>
      </c>
      <c r="D324" t="str">
        <f>HYPERLINK("Https://www.gov.gr/ipiresies/ekpaideuse/eggraphe-se-brephiko-kai-paidiko-stathmo/oikonomike-sterixe-voucher-oikogeneion-me-paidia-proskholikes-elikias","Οικονομική ενίσχυση (voucher) οικογενειών με παιδιά προσχολικής ηλικίας")</f>
        <v>Οικονομική ενίσχυση (voucher) οικογενειών με παιδιά προσχολικής ηλικίας</v>
      </c>
      <c r="E324" t="s">
        <v>184</v>
      </c>
    </row>
    <row r="325" spans="1:5" x14ac:dyDescent="0.25">
      <c r="A325">
        <v>16718</v>
      </c>
      <c r="B325" t="s">
        <v>52</v>
      </c>
      <c r="C325" t="s">
        <v>55</v>
      </c>
      <c r="D325" t="str">
        <f>HYPERLINK("Https://www.gov.gr/ipiresies/ekpaideuse/eggraphe-se-skholeio/aitese-eisagoges-matheton-kai-mathetrion-sta-protupa-kai-peiramatika-skholeia","Αίτηση εισαγωγής μαθητών και μαθητριών στα Πρότυπα και Πειραματικά Σχολεία")</f>
        <v>Αίτηση εισαγωγής μαθητών και μαθητριών στα Πρότυπα και Πειραματικά Σχολεία</v>
      </c>
      <c r="E325" t="s">
        <v>54</v>
      </c>
    </row>
    <row r="326" spans="1:5" x14ac:dyDescent="0.25">
      <c r="A326">
        <v>15755</v>
      </c>
      <c r="B326" t="s">
        <v>52</v>
      </c>
      <c r="C326" t="s">
        <v>55</v>
      </c>
      <c r="D326" t="str">
        <f>HYPERLINK("Https://www.gov.gr/ipiresies/ekpaideuse/eggraphe-se-skholeio/anazetese-skholeion","Αναζήτηση σχολείων")</f>
        <v>Αναζήτηση σχολείων</v>
      </c>
      <c r="E326" t="s">
        <v>54</v>
      </c>
    </row>
    <row r="327" spans="1:5" x14ac:dyDescent="0.25">
      <c r="A327">
        <v>15361</v>
      </c>
      <c r="B327" t="s">
        <v>52</v>
      </c>
      <c r="C327" t="s">
        <v>55</v>
      </c>
      <c r="D327" t="str">
        <f>HYPERLINK("Https://www.gov.gr/ipiresies/ekpaideuse/eggraphe-se-skholeio/bebaiose-eggraphes-allodapon-gia-logous-spoudon","Βεβαίωση εγγραφής αλλοδαπών για λόγους σπουδών")</f>
        <v>Βεβαίωση εγγραφής αλλοδαπών για λόγους σπουδών</v>
      </c>
      <c r="E327" t="s">
        <v>29</v>
      </c>
    </row>
    <row r="328" spans="1:5" x14ac:dyDescent="0.25">
      <c r="A328">
        <v>15171</v>
      </c>
      <c r="B328" t="s">
        <v>52</v>
      </c>
      <c r="C328" t="s">
        <v>55</v>
      </c>
      <c r="D328" t="str">
        <f>HYPERLINK("Https://www.gov.gr/ipiresies/ekpaideuse/eggraphe-se-skholeio/eggraphe-ananeose-eggraphes-se-geniko-kai-epaggelmatiko-lukeio","Εγγραφή / ανανέωση εγγραφής σε Γενικό και Επαγγελματικό Λύκειο")</f>
        <v>Εγγραφή / ανανέωση εγγραφής σε Γενικό και Επαγγελματικό Λύκειο</v>
      </c>
      <c r="E328" t="s">
        <v>54</v>
      </c>
    </row>
    <row r="329" spans="1:5" x14ac:dyDescent="0.25">
      <c r="A329">
        <v>15303</v>
      </c>
      <c r="B329" t="s">
        <v>52</v>
      </c>
      <c r="C329" t="s">
        <v>55</v>
      </c>
      <c r="D329" t="str">
        <f>HYPERLINK("Https://www.gov.gr/ipiresies/ekpaideuse/eggraphe-se-skholeio/eggraphe-se-demosio-iek","Εγγραφή σε Δημόσιο ΙΕΚ")</f>
        <v>Εγγραφή σε Δημόσιο ΙΕΚ</v>
      </c>
      <c r="E329" t="s">
        <v>54</v>
      </c>
    </row>
    <row r="330" spans="1:5" x14ac:dyDescent="0.25">
      <c r="A330">
        <v>15737</v>
      </c>
      <c r="B330" t="s">
        <v>52</v>
      </c>
      <c r="C330" t="s">
        <v>55</v>
      </c>
      <c r="D330" t="str">
        <f>HYPERLINK("Https://www.gov.gr/ipiresies/ekpaideuse/eggraphe-se-skholeio/eggraphe-se-epaggelmatike-skhole-epas-tou-oaed","Εγγραφή σε Επαγγελματική Σχολή (ΕΠΑΣ) της ΔΥΠΑ")</f>
        <v>Εγγραφή σε Επαγγελματική Σχολή (ΕΠΑΣ) της ΔΥΠΑ</v>
      </c>
      <c r="E330" t="s">
        <v>66</v>
      </c>
    </row>
    <row r="331" spans="1:5" x14ac:dyDescent="0.25">
      <c r="A331">
        <v>15769</v>
      </c>
      <c r="B331" t="s">
        <v>52</v>
      </c>
      <c r="C331" t="s">
        <v>55</v>
      </c>
      <c r="D331" t="str">
        <f>HYPERLINK("Https://www.gov.gr/ipiresies/ekpaideuse/eggraphe-se-skholeio/eggraphe-se-iek-tou-oaed","Εγγραφή σε ΙΕΚ της ΔΥΠΑ")</f>
        <v>Εγγραφή σε ΙΕΚ της ΔΥΠΑ</v>
      </c>
      <c r="E331" t="s">
        <v>66</v>
      </c>
    </row>
    <row r="332" spans="1:5" x14ac:dyDescent="0.25">
      <c r="A332">
        <v>15644</v>
      </c>
      <c r="B332" t="s">
        <v>52</v>
      </c>
      <c r="C332" t="s">
        <v>55</v>
      </c>
      <c r="D332" t="str">
        <f>HYPERLINK("Https://www.gov.gr/ipiresies/ekpaideuse/eggraphe-se-skholeio/eggraphe-se-nepiagogeio","Εγγραφή σε Νηπιαγωγείο")</f>
        <v>Εγγραφή σε Νηπιαγωγείο</v>
      </c>
      <c r="E332" t="s">
        <v>54</v>
      </c>
    </row>
    <row r="333" spans="1:5" x14ac:dyDescent="0.25">
      <c r="A333">
        <v>16583</v>
      </c>
      <c r="B333" t="s">
        <v>52</v>
      </c>
      <c r="C333" t="s">
        <v>55</v>
      </c>
      <c r="D333" t="str">
        <f>HYPERLINK("Https://www.gov.gr/ipiresies/ekpaideuse/eggraphe-se-skholeio/eggraphe-se-peiramatike-epaggelmatike-skhole-tou-oaed","Εγγραφή σε Πειραματική Επαγγελματική Σχολή της ΔΥΠΑ")</f>
        <v>Εγγραφή σε Πειραματική Επαγγελματική Σχολή της ΔΥΠΑ</v>
      </c>
      <c r="E333" t="s">
        <v>66</v>
      </c>
    </row>
    <row r="334" spans="1:5" x14ac:dyDescent="0.25">
      <c r="A334">
        <v>15428</v>
      </c>
      <c r="B334" t="s">
        <v>52</v>
      </c>
      <c r="C334" t="s">
        <v>55</v>
      </c>
      <c r="D334" t="str">
        <f>HYPERLINK("Https://www.gov.gr/ipiresies/ekpaideuse/eggraphe-se-skholeio/matheteia-sta-demosia-iek","Μαθητεία στα Δημόσια ΙΕΚ")</f>
        <v>Μαθητεία στα Δημόσια ΙΕΚ</v>
      </c>
      <c r="E334" t="s">
        <v>54</v>
      </c>
    </row>
    <row r="335" spans="1:5" x14ac:dyDescent="0.25">
      <c r="A335">
        <v>15417</v>
      </c>
      <c r="B335" t="s">
        <v>52</v>
      </c>
      <c r="C335" t="s">
        <v>181</v>
      </c>
      <c r="D335" t="str">
        <f>HYPERLINK("Https://www.gov.gr/ipiresies/ekpaideuse/ekpaideutiko-biographiko/kratiko-pistopoietiko-glossomatheias-kpg","Κρατικό Πιστοποιητικό Γλωσσομάθειας (ΚΠΓ)")</f>
        <v>Κρατικό Πιστοποιητικό Γλωσσομάθειας (ΚΠΓ)</v>
      </c>
      <c r="E335" t="s">
        <v>54</v>
      </c>
    </row>
    <row r="336" spans="1:5" x14ac:dyDescent="0.25">
      <c r="A336">
        <v>16458</v>
      </c>
      <c r="B336" t="s">
        <v>52</v>
      </c>
      <c r="C336" t="s">
        <v>56</v>
      </c>
      <c r="D336" t="str">
        <f>HYPERLINK("Https://www.gov.gr/ipiresies/ekpaideuse/epaggelmaties-ekpaideuses/aitese-ekpaideutikou-gia-theteia-se-protupa-kai-peiramatika-skholeia","Αίτηση εκπαιδευτικού για τοποθέτηση σε Πρότυπα και Πειραματικά σχολεία")</f>
        <v>Αίτηση εκπαιδευτικού για τοποθέτηση σε Πρότυπα και Πειραματικά σχολεία</v>
      </c>
      <c r="E336" t="s">
        <v>54</v>
      </c>
    </row>
    <row r="337" spans="1:5" x14ac:dyDescent="0.25">
      <c r="A337">
        <v>15169</v>
      </c>
      <c r="B337" t="s">
        <v>52</v>
      </c>
      <c r="C337" t="s">
        <v>56</v>
      </c>
      <c r="D337" t="str">
        <f>HYPERLINK("Https://www.gov.gr/ipiresies/ekpaideuse/epaggelmaties-ekpaideuses/aitese-proslepses-anapleroton-ekpaideutikon","Αίτηση πρόσληψης αναπληρωτών εκπαιδευτικών")</f>
        <v>Αίτηση πρόσληψης αναπληρωτών εκπαιδευτικών</v>
      </c>
      <c r="E337" t="s">
        <v>54</v>
      </c>
    </row>
    <row r="338" spans="1:5" x14ac:dyDescent="0.25">
      <c r="A338">
        <v>15514</v>
      </c>
      <c r="B338" t="s">
        <v>52</v>
      </c>
      <c r="C338" t="s">
        <v>56</v>
      </c>
      <c r="D338" t="str">
        <f>HYPERLINK("Https://www.gov.gr/ipiresies/ekpaideuse/epaggelmaties-ekpaideuses/aitese-upeuthunou-ekpaideuses-upatia","Αίτηση υπεύθυνου εκπαίδευσης (Υπατία)")</f>
        <v>Αίτηση υπεύθυνου εκπαίδευσης (Υπατία)</v>
      </c>
      <c r="E338" t="s">
        <v>54</v>
      </c>
    </row>
    <row r="339" spans="1:5" x14ac:dyDescent="0.25">
      <c r="A339">
        <v>15628</v>
      </c>
      <c r="B339" t="s">
        <v>52</v>
      </c>
      <c r="C339" t="s">
        <v>56</v>
      </c>
      <c r="D339" t="str">
        <f>HYPERLINK("Https://www.gov.gr/ipiresies/ekpaideuse/epaggelmaties-ekpaideuses/aitese-oromisthion-ekpaideuton-diek-sdek-skholeia-deuteres-eukairias","Αίτηση ωρομισθίων εκπαιδευτών (ΔΙΕΚ, ΣΔΕΚ, Σχολεία δεύτερης ευκαιρίας)")</f>
        <v>Αίτηση ωρομισθίων εκπαιδευτών (ΔΙΕΚ, ΣΔΕΚ, Σχολεία δεύτερης ευκαιρίας)</v>
      </c>
      <c r="E339" t="s">
        <v>77</v>
      </c>
    </row>
    <row r="340" spans="1:5" x14ac:dyDescent="0.25">
      <c r="A340">
        <v>16566</v>
      </c>
      <c r="B340" t="s">
        <v>52</v>
      </c>
      <c r="C340" t="s">
        <v>56</v>
      </c>
      <c r="D340" t="str">
        <f>HYPERLINK("Https://www.gov.gr/ipiresies/ekpaideuse/epaggelmaties-ekpaideuses/axiologese-ekpaideutikou-ergou-skholikon-monadon","Αξιολόγηση εκπαιδευτικού έργου σχολικών μονάδων")</f>
        <v>Αξιολόγηση εκπαιδευτικού έργου σχολικών μονάδων</v>
      </c>
      <c r="E340" t="s">
        <v>54</v>
      </c>
    </row>
    <row r="341" spans="1:5" x14ac:dyDescent="0.25">
      <c r="A341">
        <v>15645</v>
      </c>
      <c r="B341" t="s">
        <v>52</v>
      </c>
      <c r="C341" t="s">
        <v>56</v>
      </c>
      <c r="D341" t="str">
        <f>HYPERLINK("Https://www.gov.gr/ipiresies/ekpaideuse/epaggelmaties-ekpaideuses/diakheirise-aiteseon-eggraphes-se-nepiagogeia","Διαχείριση αιτήσεων εγγραφής σε Νηπιαγωγεία")</f>
        <v>Διαχείριση αιτήσεων εγγραφής σε Νηπιαγωγεία</v>
      </c>
      <c r="E341" t="s">
        <v>54</v>
      </c>
    </row>
    <row r="342" spans="1:5" x14ac:dyDescent="0.25">
      <c r="A342">
        <v>15170</v>
      </c>
      <c r="B342" t="s">
        <v>52</v>
      </c>
      <c r="C342" t="s">
        <v>56</v>
      </c>
      <c r="D342" t="str">
        <f>HYPERLINK("Https://www.gov.gr/ipiresies/ekpaideuse/epaggelmaties-ekpaideuses/diakheirise-metroou-ekpaideutikon-upobole-aiteseon-metatheseon","Διαχείριση μητρώου εκπαιδευτικών / υποβολή αιτήσεων μεταθέσεων")</f>
        <v>Διαχείριση μητρώου εκπαιδευτικών / υποβολή αιτήσεων μεταθέσεων</v>
      </c>
      <c r="E342" t="s">
        <v>54</v>
      </c>
    </row>
    <row r="343" spans="1:5" x14ac:dyDescent="0.25">
      <c r="A343">
        <v>15465</v>
      </c>
      <c r="B343" t="s">
        <v>52</v>
      </c>
      <c r="C343" t="s">
        <v>56</v>
      </c>
      <c r="D343" t="str">
        <f>HYPERLINK("Https://www.gov.gr/ipiresies/ekpaideuse/epaggelmaties-ekpaideuses/diakheirise-prosopikou-thmias-kai-b-thmias-ekpaideuses-opsud","Διαχείριση προσωπικού Α/θμιας και Β/θμιας Εκπαίδευσης (ΟΠΣΥΔ)")</f>
        <v>Διαχείριση προσωπικού Α/θμιας και Β/θμιας Εκπαίδευσης (ΟΠΣΥΔ)</v>
      </c>
      <c r="E343" t="s">
        <v>54</v>
      </c>
    </row>
    <row r="344" spans="1:5" x14ac:dyDescent="0.25">
      <c r="A344">
        <v>15756</v>
      </c>
      <c r="B344" t="s">
        <v>52</v>
      </c>
      <c r="C344" t="s">
        <v>56</v>
      </c>
      <c r="D344" t="str">
        <f>HYPERLINK("Https://www.gov.gr/ipiresies/ekpaideuse/epaggelmaties-ekpaideuses/eggraphe-se-gumnasio","Εγγραφή σε Γυμνάσιο")</f>
        <v>Εγγραφή σε Γυμνάσιο</v>
      </c>
      <c r="E344" t="s">
        <v>54</v>
      </c>
    </row>
    <row r="345" spans="1:5" x14ac:dyDescent="0.25">
      <c r="A345">
        <v>15352</v>
      </c>
      <c r="B345" t="s">
        <v>52</v>
      </c>
      <c r="C345" t="s">
        <v>56</v>
      </c>
      <c r="D345" t="str">
        <f>HYPERLINK("Https://www.gov.gr/ipiresies/ekpaideuse/epaggelmaties-ekpaideuses/eisagoge-dokimon-se-skholes-ls-elakt-meso-panelladikon-exetaseon","Εισαγωγή δοκίμων σε σχολές ΛΣ-ΕΛΑΚΤ μέσω πανελλαδικών εξετάσεων")</f>
        <v>Εισαγωγή δοκίμων σε σχολές ΛΣ-ΕΛΑΚΤ μέσω πανελλαδικών εξετάσεων</v>
      </c>
      <c r="E345" t="s">
        <v>37</v>
      </c>
    </row>
    <row r="346" spans="1:5" x14ac:dyDescent="0.25">
      <c r="A346">
        <v>15353</v>
      </c>
      <c r="B346" t="s">
        <v>52</v>
      </c>
      <c r="C346" t="s">
        <v>56</v>
      </c>
      <c r="D346" t="str">
        <f>HYPERLINK("Https://www.gov.gr/ipiresies/ekpaideuse/epaggelmaties-ekpaideuses/eisagoge-spoudaston-se-akademies-emporikou-nautikou-aen","Εισαγωγή σπουδαστών σε Ακαδημίες Εμπορικού Ναυτικού (ΑΕΝ)")</f>
        <v>Εισαγωγή σπουδαστών σε Ακαδημίες Εμπορικού Ναυτικού (ΑΕΝ)</v>
      </c>
      <c r="E346" t="s">
        <v>37</v>
      </c>
    </row>
    <row r="347" spans="1:5" x14ac:dyDescent="0.25">
      <c r="A347">
        <v>15746</v>
      </c>
      <c r="B347" t="s">
        <v>52</v>
      </c>
      <c r="C347" t="s">
        <v>56</v>
      </c>
      <c r="D347" t="str">
        <f>HYPERLINK("Https://www.gov.gr/ipiresies/ekpaideuse/epaggelmaties-ekpaideuses/ekpaideutes-epaggelmatikon-skholon-epas-matheteias-tou-oaed","Εκπαιδευτές Επαγγελματικών Σχολών (ΕΠΑΣ) Μαθητείας της ΔΥΠΑ")</f>
        <v>Εκπαιδευτές Επαγγελματικών Σχολών (ΕΠΑΣ) Μαθητείας της ΔΥΠΑ</v>
      </c>
      <c r="E347" t="s">
        <v>66</v>
      </c>
    </row>
    <row r="348" spans="1:5" x14ac:dyDescent="0.25">
      <c r="A348">
        <v>15286</v>
      </c>
      <c r="B348" t="s">
        <v>52</v>
      </c>
      <c r="C348" t="s">
        <v>56</v>
      </c>
      <c r="D348" t="str">
        <f>HYPERLINK("Https://www.gov.gr/ipiresies/ekpaideuse/epaggelmaties-ekpaideuses/exetastika-kentra-gia-ten-pistopoiese-ellenomatheias-tou-kentrou-ellenikes-glossas","Εξεταστικά κέντρα για την πιστοποίηση ελληνομάθειας του Κέντρου Ελληνικής Γλώσσας")</f>
        <v>Εξεταστικά κέντρα για την πιστοποίηση ελληνομάθειας του Κέντρου Ελληνικής Γλώσσας</v>
      </c>
      <c r="E348" t="s">
        <v>127</v>
      </c>
    </row>
    <row r="349" spans="1:5" x14ac:dyDescent="0.25">
      <c r="A349">
        <v>15501</v>
      </c>
      <c r="B349" t="s">
        <v>52</v>
      </c>
      <c r="C349" t="s">
        <v>56</v>
      </c>
      <c r="D349" t="str">
        <f>HYPERLINK("Https://www.gov.gr/ipiresies/ekpaideuse/epaggelmaties-ekpaideuses/epiloge-stelekhon-diek","Επιλογή στελεχών ΔΙΕΚ")</f>
        <v>Επιλογή στελεχών ΔΙΕΚ</v>
      </c>
      <c r="E349" t="s">
        <v>54</v>
      </c>
    </row>
    <row r="350" spans="1:5" x14ac:dyDescent="0.25">
      <c r="A350">
        <v>15481</v>
      </c>
      <c r="B350" t="s">
        <v>52</v>
      </c>
      <c r="C350" t="s">
        <v>56</v>
      </c>
      <c r="D350" t="str">
        <f>HYPERLINK("Https://www.gov.gr/ipiresies/ekpaideuse/epaggelmaties-ekpaideuses/epharmoges-uposterixes-skholikon-monadon-myschool","Εφαρμογές υποστήριξης σχολικών μονάδων (myschool)")</f>
        <v>Εφαρμογές υποστήριξης σχολικών μονάδων (myschool)</v>
      </c>
      <c r="E350" t="s">
        <v>54</v>
      </c>
    </row>
    <row r="351" spans="1:5" x14ac:dyDescent="0.25">
      <c r="A351">
        <v>16423</v>
      </c>
      <c r="B351" t="s">
        <v>52</v>
      </c>
      <c r="C351" t="s">
        <v>56</v>
      </c>
      <c r="D351" t="str">
        <f>HYPERLINK("Https://www.gov.gr/ipiresies/ekpaideuse/epaggelmaties-ekpaideuses/metroo-bathmologeton-axiologeton-omades-epitereton-pistopoietikou-eparkeias-gnoseon-gia-politographese-pegp","Μητρώο Βαθμολογητών / Αξιολογητών - Ομάδες Επιτηρητών Πιστοποιητικού Επάρκειας Γνώσεων για Πολιτογράφηση (ΠΕΓΠ)")</f>
        <v>Μητρώο Βαθμολογητών / Αξιολογητών - Ομάδες Επιτηρητών Πιστοποιητικού Επάρκειας Γνώσεων για Πολιτογράφηση (ΠΕΓΠ)</v>
      </c>
      <c r="E351" t="s">
        <v>68</v>
      </c>
    </row>
    <row r="352" spans="1:5" x14ac:dyDescent="0.25">
      <c r="A352">
        <v>15704</v>
      </c>
      <c r="B352" t="s">
        <v>52</v>
      </c>
      <c r="C352" t="s">
        <v>56</v>
      </c>
      <c r="D352" t="str">
        <f>HYPERLINK("Https://www.gov.gr/ipiresies/ekpaideuse/epaggelmaties-ekpaideuses/metroo-tou-institoutou-ekpaideutikes-politikes-iep","Μητρώο του Ινστιτούτου Εκπαιδευτικής Πολιτικής (ΙΕΠ)")</f>
        <v>Μητρώο του Ινστιτούτου Εκπαιδευτικής Πολιτικής (ΙΕΠ)</v>
      </c>
      <c r="E352" t="s">
        <v>183</v>
      </c>
    </row>
    <row r="353" spans="1:5" x14ac:dyDescent="0.25">
      <c r="A353">
        <v>15354</v>
      </c>
      <c r="B353" t="s">
        <v>52</v>
      </c>
      <c r="C353" t="s">
        <v>56</v>
      </c>
      <c r="D353" t="str">
        <f>HYPERLINK("Https://www.gov.gr/ipiresies/ekpaideuse/epaggelmaties-ekpaideuses/nautologese-spoudaston-aen","Ναυτολόγηση σπουδαστών ΑΕΝ")</f>
        <v>Ναυτολόγηση σπουδαστών ΑΕΝ</v>
      </c>
      <c r="E353" t="s">
        <v>37</v>
      </c>
    </row>
    <row r="354" spans="1:5" x14ac:dyDescent="0.25">
      <c r="A354">
        <v>16565</v>
      </c>
      <c r="B354" t="s">
        <v>52</v>
      </c>
      <c r="C354" t="s">
        <v>56</v>
      </c>
      <c r="D354" t="str">
        <f>HYPERLINK("Https://www.gov.gr/ipiresies/ekpaideuse/epaggelmaties-ekpaideuses/plerose-theseon-proedron-anapleroton-proedron-kai-melon-epistemonikon-epoptikon-sumboulion-epes-gia-ta-protupa-kai-peiramatika-skholeia","Πλήρωση θέσεων προέδρων / αναπληρωτών προέδρων και μελών επιστημονικών εποπτικών συμβουλίων (ΕΠΕΣ) για τα Πρότυπα και Πειραματικά σχολεία")</f>
        <v>Πλήρωση θέσεων προέδρων / αναπληρωτών προέδρων και μελών επιστημονικών εποπτικών συμβουλίων (ΕΠΕΣ) για τα Πρότυπα και Πειραματικά σχολεία</v>
      </c>
      <c r="E354" t="s">
        <v>54</v>
      </c>
    </row>
    <row r="355" spans="1:5" x14ac:dyDescent="0.25">
      <c r="A355">
        <v>16526</v>
      </c>
      <c r="B355" t="s">
        <v>52</v>
      </c>
      <c r="C355" t="s">
        <v>56</v>
      </c>
      <c r="D355" t="str">
        <f>HYPERLINK("Https://www.gov.gr/ipiresies/ekpaideuse/epaggelmaties-ekpaideuses/sunapse-psephiakes-sumbases-anapleroton-ekpaideutikon","Σύναψη ψηφιακής σύμβασης αναπληρωτών εκπαιδευτικών")</f>
        <v>Σύναψη ψηφιακής σύμβασης αναπληρωτών εκπαιδευτικών</v>
      </c>
      <c r="E355" t="s">
        <v>54</v>
      </c>
    </row>
    <row r="356" spans="1:5" x14ac:dyDescent="0.25">
      <c r="A356">
        <v>15507</v>
      </c>
      <c r="B356" t="s">
        <v>52</v>
      </c>
      <c r="C356" t="s">
        <v>56</v>
      </c>
      <c r="D356" t="str">
        <f>HYPERLINK("Https://www.gov.gr/ipiresies/ekpaideuse/epaggelmaties-ekpaideuses/soma-axiologeton-ellenomatheias","Σώμα αξιολογητών ελληνομάθειας")</f>
        <v>Σώμα αξιολογητών ελληνομάθειας</v>
      </c>
      <c r="E356" t="s">
        <v>54</v>
      </c>
    </row>
    <row r="357" spans="1:5" x14ac:dyDescent="0.25">
      <c r="A357">
        <v>15757</v>
      </c>
      <c r="B357" t="s">
        <v>52</v>
      </c>
      <c r="C357" t="s">
        <v>56</v>
      </c>
      <c r="D357" t="str">
        <f>HYPERLINK("Https://www.gov.gr/ipiresies/ekpaideuse/epaggelmaties-ekpaideuses/khorotaxike-katanome-matheton","Χωροταξική κατανομή μαθητών")</f>
        <v>Χωροταξική κατανομή μαθητών</v>
      </c>
      <c r="E357" t="s">
        <v>54</v>
      </c>
    </row>
    <row r="358" spans="1:5" x14ac:dyDescent="0.25">
      <c r="A358">
        <v>15802</v>
      </c>
      <c r="B358" t="s">
        <v>52</v>
      </c>
      <c r="C358" t="s">
        <v>120</v>
      </c>
      <c r="D358" t="str">
        <f>HYPERLINK("Https://www.gov.gr/ipiresies/ekpaideuse/ereuna/apotheterio-koinonikon-dedomenon-ethnikou-kentrou-koinonikon-ereunon-ekke","Αποθετήριο Κοινωνικών Δεδομένων Εθνικού Κέντρου Κοινωνικών Ερευνών (ΕΚΚΕ)")</f>
        <v>Αποθετήριο Κοινωνικών Δεδομένων Εθνικού Κέντρου Κοινωνικών Ερευνών (ΕΚΚΕ)</v>
      </c>
      <c r="E358" t="s">
        <v>121</v>
      </c>
    </row>
    <row r="359" spans="1:5" x14ac:dyDescent="0.25">
      <c r="A359">
        <v>15758</v>
      </c>
      <c r="B359" t="s">
        <v>52</v>
      </c>
      <c r="C359" t="s">
        <v>120</v>
      </c>
      <c r="D359" t="str">
        <f>HYPERLINK("Https://www.gov.gr/ipiresies/ekpaideuse/ereuna/bibliotheke-aristoteleiou-panepistemiou-thessalonikes-apth","Βιβλιοθήκη Αριστοτελείου Πανεπιστημίου Θεσσαλονίκης (ΑΠΘ)")</f>
        <v>Βιβλιοθήκη Αριστοτελείου Πανεπιστημίου Θεσσαλονίκης (ΑΠΘ)</v>
      </c>
      <c r="E359" t="s">
        <v>144</v>
      </c>
    </row>
    <row r="360" spans="1:5" x14ac:dyDescent="0.25">
      <c r="A360">
        <v>15800</v>
      </c>
      <c r="B360" t="s">
        <v>52</v>
      </c>
      <c r="C360" t="s">
        <v>120</v>
      </c>
      <c r="D360" t="str">
        <f>HYPERLINK("Https://www.gov.gr/ipiresies/ekpaideuse/ereuna/demosios-katalogos-bibliothekes-ethnikou-kentrou-koinonikon-ereunon-ekke","Δημόσιος κατάλογος Βιβλιοθήκης Εθνικού Κέντρου Κοινωνικών Ερευνών (ΕΚΚΕ)")</f>
        <v>Δημόσιος κατάλογος Βιβλιοθήκης Εθνικού Κέντρου Κοινωνικών Ερευνών (ΕΚΚΕ)</v>
      </c>
      <c r="E360" t="s">
        <v>121</v>
      </c>
    </row>
    <row r="361" spans="1:5" x14ac:dyDescent="0.25">
      <c r="A361">
        <v>15700</v>
      </c>
      <c r="B361" t="s">
        <v>52</v>
      </c>
      <c r="C361" t="s">
        <v>120</v>
      </c>
      <c r="D361" t="str">
        <f>HYPERLINK("Https://www.gov.gr/ipiresies/ekpaideuse/ereuna/ethniko-arkheio-didaktorikon-diatribon","Εθνικό αρχείο διδακτορικών διατριβών")</f>
        <v>Εθνικό αρχείο διδακτορικών διατριβών</v>
      </c>
      <c r="E361" t="s">
        <v>157</v>
      </c>
    </row>
    <row r="362" spans="1:5" x14ac:dyDescent="0.25">
      <c r="A362">
        <v>15801</v>
      </c>
      <c r="B362" t="s">
        <v>52</v>
      </c>
      <c r="C362" t="s">
        <v>120</v>
      </c>
      <c r="D362" t="str">
        <f>HYPERLINK("Https://www.gov.gr/ipiresies/ekpaideuse/ereuna/ekdoseis-ethnikou-kentrou-koinonikon-ereunon-ekke","Εκδόσεις Εθνικού Κέντρου Κοινωνικών Ερευνών (ΕΚΚΕ)")</f>
        <v>Εκδόσεις Εθνικού Κέντρου Κοινωνικών Ερευνών (ΕΚΚΕ)</v>
      </c>
      <c r="E362" t="s">
        <v>121</v>
      </c>
    </row>
    <row r="363" spans="1:5" x14ac:dyDescent="0.25">
      <c r="A363">
        <v>15759</v>
      </c>
      <c r="B363" t="s">
        <v>52</v>
      </c>
      <c r="C363" t="s">
        <v>120</v>
      </c>
      <c r="D363" t="str">
        <f>HYPERLINK("Https://www.gov.gr/ipiresies/ekpaideuse/ereuna/epistemonikes-ergasies-aristoteleiou-panepistemiou-thessalonikes-apth","Επιστημονικές εργασίες Αριστοτελείου Πανεπιστημίου Θεσσαλονίκης (ΑΠΘ)")</f>
        <v>Επιστημονικές εργασίες Αριστοτελείου Πανεπιστημίου Θεσσαλονίκης (ΑΠΘ)</v>
      </c>
      <c r="E363" t="s">
        <v>144</v>
      </c>
    </row>
    <row r="364" spans="1:5" x14ac:dyDescent="0.25">
      <c r="A364">
        <v>15804</v>
      </c>
      <c r="B364" t="s">
        <v>52</v>
      </c>
      <c r="C364" t="s">
        <v>120</v>
      </c>
      <c r="D364" t="str">
        <f>HYPERLINK("Https://www.gov.gr/ipiresies/ekpaideuse/ereuna/kaleidoskopio-koinonikon-dedomenon-ethnikou-kentrou-koinonikon-ereunon-ekke","Καλειδοσκόπιο Κοινωνικών Δεδομένων Εθνικού Κέντρου Κοινωνικών Ερευνών (ΕΚΚΕ)")</f>
        <v>Καλειδοσκόπιο Κοινωνικών Δεδομένων Εθνικού Κέντρου Κοινωνικών Ερευνών (ΕΚΚΕ)</v>
      </c>
      <c r="E364" t="s">
        <v>121</v>
      </c>
    </row>
    <row r="365" spans="1:5" x14ac:dyDescent="0.25">
      <c r="A365">
        <v>15803</v>
      </c>
      <c r="B365" t="s">
        <v>52</v>
      </c>
      <c r="C365" t="s">
        <v>120</v>
      </c>
      <c r="D365" t="str">
        <f>HYPERLINK("Https://www.gov.gr/ipiresies/ekpaideuse/ereuna/panorama-apographikon-dedomenon-ethnikou-kentrou-koinonikon-ereunon-ekke","Πανόραμα Απογραφικών Δεδομένων Εθνικού Κέντρου Κοινωνικών Ερευνών (ΕΚΚΕ)")</f>
        <v>Πανόραμα Απογραφικών Δεδομένων Εθνικού Κέντρου Κοινωνικών Ερευνών (ΕΚΚΕ)</v>
      </c>
      <c r="E365" t="s">
        <v>121</v>
      </c>
    </row>
    <row r="366" spans="1:5" x14ac:dyDescent="0.25">
      <c r="A366">
        <v>15792</v>
      </c>
      <c r="B366" t="s">
        <v>52</v>
      </c>
      <c r="C366" t="s">
        <v>120</v>
      </c>
      <c r="D366" t="str">
        <f>HYPERLINK("Https://www.gov.gr/ipiresies/ekpaideuse/ereuna/psephiake-bibliotheke-ellenikes-statistikes-arkhes","Ψηφιακή βιβλιοθήκη Ελληνικής Στατιστικής Αρχής")</f>
        <v>Ψηφιακή βιβλιοθήκη Ελληνικής Στατιστικής Αρχής</v>
      </c>
      <c r="E366" t="s">
        <v>117</v>
      </c>
    </row>
    <row r="367" spans="1:5" x14ac:dyDescent="0.25">
      <c r="A367">
        <v>15627</v>
      </c>
      <c r="B367" t="s">
        <v>52</v>
      </c>
      <c r="C367" t="s">
        <v>53</v>
      </c>
      <c r="D367" t="str">
        <f>HYPERLINK("Https://www.gov.gr/ipiresies/ekpaideuse/themata-ekpaideuses/aitese-gia-ekpaideutika-themata","Αίτηση για εκπαιδευτικά θέματα")</f>
        <v>Αίτηση για εκπαιδευτικά θέματα</v>
      </c>
      <c r="E367" t="s">
        <v>54</v>
      </c>
    </row>
    <row r="368" spans="1:5" x14ac:dyDescent="0.25">
      <c r="A368">
        <v>15471</v>
      </c>
      <c r="B368" t="s">
        <v>52</v>
      </c>
      <c r="C368" t="s">
        <v>76</v>
      </c>
      <c r="D368" t="str">
        <f>HYPERLINK("Https://www.gov.gr/ipiresies/ekpaideuse/katartise-kai-ekpaideutiko-periekhomeno/aitese-oromisthion-ekpaideutikon-iek","Αίτηση ωρομισθίων εκπαιδευτικών ΙΕΚ")</f>
        <v>Αίτηση ωρομισθίων εκπαιδευτικών ΙΕΚ</v>
      </c>
      <c r="E368" t="s">
        <v>54</v>
      </c>
    </row>
    <row r="369" spans="1:5" x14ac:dyDescent="0.25">
      <c r="A369">
        <v>15472</v>
      </c>
      <c r="B369" t="s">
        <v>52</v>
      </c>
      <c r="C369" t="s">
        <v>76</v>
      </c>
      <c r="D369" t="str">
        <f>HYPERLINK("Https://www.gov.gr/ipiresies/ekpaideuse/katartise-kai-ekpaideutiko-periekhomeno/aitese-oromisthion-ekpaideutikon-iek-oaed","Αίτηση ωρομισθίων εκπαιδευτικών ΙΕΚ – ΔΥΠΑ")</f>
        <v>Αίτηση ωρομισθίων εκπαιδευτικών ΙΕΚ – ΔΥΠΑ</v>
      </c>
      <c r="E369" t="s">
        <v>66</v>
      </c>
    </row>
    <row r="370" spans="1:5" x14ac:dyDescent="0.25">
      <c r="A370">
        <v>15611</v>
      </c>
      <c r="B370" t="s">
        <v>52</v>
      </c>
      <c r="C370" t="s">
        <v>76</v>
      </c>
      <c r="D370" t="str">
        <f>HYPERLINK("Https://www.gov.gr/ipiresies/ekpaideuse/katartise-kai-ekpaideutiko-periekhomeno/akademaika-suggramata-kallipos","Ακαδημαϊκά συγγράματα (Κάλλιπος)")</f>
        <v>Ακαδημαϊκά συγγράματα (Κάλλιπος)</v>
      </c>
      <c r="E370" t="s">
        <v>78</v>
      </c>
    </row>
    <row r="371" spans="1:5" x14ac:dyDescent="0.25">
      <c r="A371">
        <v>15850</v>
      </c>
      <c r="B371" t="s">
        <v>52</v>
      </c>
      <c r="C371" t="s">
        <v>76</v>
      </c>
      <c r="D371" t="str">
        <f>HYPERLINK("Https://www.gov.gr/ipiresies/ekpaideuse/katartise-kai-ekpaideutiko-periekhomeno/antigrapho-pistopoietikou-spoudon-iek-kek-matheteias-tee-kuklou-tee-b-kuklou","Αντίγραφο πιστοποιητικού σπουδών (ΙΕΚ, ΚΕΚ, Μαθητείας, ΤΕΕ Α' Κύκλου, ΤΕΕ Β' Κύκλου)")</f>
        <v>Αντίγραφο πιστοποιητικού σπουδών (ΙΕΚ, ΚΕΚ, Μαθητείας, ΤΕΕ Α' Κύκλου, ΤΕΕ Β' Κύκλου)</v>
      </c>
      <c r="E371" t="s">
        <v>54</v>
      </c>
    </row>
    <row r="372" spans="1:5" x14ac:dyDescent="0.25">
      <c r="A372">
        <v>15290</v>
      </c>
      <c r="B372" t="s">
        <v>52</v>
      </c>
      <c r="C372" t="s">
        <v>76</v>
      </c>
      <c r="D372" t="str">
        <f>HYPERLINK("Https://www.gov.gr/ipiresies/ekpaideuse/katartise-kai-ekpaideutiko-periekhomeno/diadrastika-skholika-biblia","Διαδραστικά σχολικά βιβλία")</f>
        <v>Διαδραστικά σχολικά βιβλία</v>
      </c>
      <c r="E372" t="s">
        <v>159</v>
      </c>
    </row>
    <row r="373" spans="1:5" x14ac:dyDescent="0.25">
      <c r="A373">
        <v>15298</v>
      </c>
      <c r="B373" t="s">
        <v>52</v>
      </c>
      <c r="C373" t="s">
        <v>76</v>
      </c>
      <c r="D373" t="str">
        <f>HYPERLINK("Https://www.gov.gr/ipiresies/ekpaideuse/katartise-kai-ekpaideutiko-periekhomeno/diktuake-ekpaideutike-pule","Δικτυακή εκπαιδευτική πύλη")</f>
        <v>Δικτυακή εκπαιδευτική πύλη</v>
      </c>
      <c r="E373" t="s">
        <v>54</v>
      </c>
    </row>
    <row r="374" spans="1:5" x14ac:dyDescent="0.25">
      <c r="A374">
        <v>16730</v>
      </c>
      <c r="B374" t="s">
        <v>52</v>
      </c>
      <c r="C374" t="s">
        <v>76</v>
      </c>
      <c r="D374" t="str">
        <f>HYPERLINK("Https://www.gov.gr/ipiresies/ekpaideuse/katartise-kai-ekpaideutiko-periekhomeno/eggraphe-sto-metroo-parokhon-katartises-adeiodotemenon-k-d-b-m","Εγγραφή στο Μητρώο Παρόχων Κατάρτισης Αδειοδοτημένων Κ.Δ.Β.Μ.")</f>
        <v>Εγγραφή στο Μητρώο Παρόχων Κατάρτισης Αδειοδοτημένων Κ.Δ.Β.Μ.</v>
      </c>
      <c r="E374" t="s">
        <v>66</v>
      </c>
    </row>
    <row r="375" spans="1:5" x14ac:dyDescent="0.25">
      <c r="A375">
        <v>16765</v>
      </c>
      <c r="B375" t="s">
        <v>52</v>
      </c>
      <c r="C375" t="s">
        <v>76</v>
      </c>
      <c r="D375" t="str">
        <f>HYPERLINK("Https://www.gov.gr/ipiresies/ekpaideuse/katartise-kai-ekpaideutiko-periekhomeno/eggraphe-sto-metroo-parokhon-pistopoieses","Εγγραφή στο Μητρώο Παρόχων Πιστοποίησης")</f>
        <v>Εγγραφή στο Μητρώο Παρόχων Πιστοποίησης</v>
      </c>
      <c r="E375" t="s">
        <v>66</v>
      </c>
    </row>
    <row r="376" spans="1:5" x14ac:dyDescent="0.25">
      <c r="A376">
        <v>16731</v>
      </c>
      <c r="B376" t="s">
        <v>52</v>
      </c>
      <c r="C376" t="s">
        <v>76</v>
      </c>
      <c r="D376" t="str">
        <f>HYPERLINK("Https://www.gov.gr/ipiresies/ekpaideuse/katartise-kai-ekpaideutiko-periekhomeno/eggraphe-sto-metroo-parokhon-ton-k-e-di-bi-m-ton-aei","Εγγραφή στο Μητρώο Παρόχων των Κ.Ε.ΔΙ.ΒΙ.Μ. των ΑΕΙ")</f>
        <v>Εγγραφή στο Μητρώο Παρόχων των Κ.Ε.ΔΙ.ΒΙ.Μ. των ΑΕΙ</v>
      </c>
      <c r="E376" t="s">
        <v>66</v>
      </c>
    </row>
    <row r="377" spans="1:5" x14ac:dyDescent="0.25">
      <c r="A377">
        <v>16818</v>
      </c>
      <c r="B377" t="s">
        <v>52</v>
      </c>
      <c r="C377" t="s">
        <v>76</v>
      </c>
      <c r="D377" t="str">
        <f>HYPERLINK("Https://www.gov.gr/ipiresies/ekpaideuse/katartise-kai-ekpaideutiko-periekhomeno/eggraphe-sto-metroo-opheloumenon-katartises-meso-ton-k-e-di-bi-m-ton-e-i-kai-ton-adeiodotemenon-k-d-b-m","Εγγραφή στο Μητρώο Ωφελουμένων κατάρτισης μέσω των Κ.Ε.Δι.Βι.Μ των Α.Ε.Ι. και των αδειοδοτημένων Κ.Δ.Β.Μ.")</f>
        <v>Εγγραφή στο Μητρώο Ωφελουμένων κατάρτισης μέσω των Κ.Ε.Δι.Βι.Μ των Α.Ε.Ι. και των αδειοδοτημένων Κ.Δ.Β.Μ.</v>
      </c>
      <c r="E377" t="s">
        <v>66</v>
      </c>
    </row>
    <row r="378" spans="1:5" x14ac:dyDescent="0.25">
      <c r="A378">
        <v>15701</v>
      </c>
      <c r="B378" t="s">
        <v>52</v>
      </c>
      <c r="C378" t="s">
        <v>76</v>
      </c>
      <c r="D378" t="str">
        <f>HYPERLINK("Https://www.gov.gr/ipiresies/ekpaideuse/katartise-kai-ekpaideutiko-periekhomeno/ethnikos-sullogikos-katalogos-epistemonikon-periodikon","Εθνικός συλλογικός κατάλογος επιστημονικών περιοδικών")</f>
        <v>Εθνικός συλλογικός κατάλογος επιστημονικών περιοδικών</v>
      </c>
      <c r="E378" t="s">
        <v>157</v>
      </c>
    </row>
    <row r="379" spans="1:5" x14ac:dyDescent="0.25">
      <c r="A379">
        <v>15629</v>
      </c>
      <c r="B379" t="s">
        <v>52</v>
      </c>
      <c r="C379" t="s">
        <v>76</v>
      </c>
      <c r="D379" t="str">
        <f>HYPERLINK("Https://www.gov.gr/ipiresies/ekpaideuse/katartise-kai-ekpaideutiko-periekhomeno/ekpaideutike-teleorase","Εκπαιδευτική Τηλεόραση")</f>
        <v>Εκπαιδευτική Τηλεόραση</v>
      </c>
      <c r="E379" t="s">
        <v>54</v>
      </c>
    </row>
    <row r="380" spans="1:5" x14ac:dyDescent="0.25">
      <c r="A380">
        <v>15188</v>
      </c>
      <c r="B380" t="s">
        <v>52</v>
      </c>
      <c r="C380" t="s">
        <v>76</v>
      </c>
      <c r="D380" t="str">
        <f>HYPERLINK("Https://www.gov.gr/ipiresies/ekpaideuse/katartise-kai-ekpaideutiko-periekhomeno/eniaio-olokleromeno-sustema-akademaikon-bibliothekon-ilsas","Ενιαίο ολοκληρωμένο σύστημα ακαδημαϊκών βιβλιοθηκών (ILSaS)")</f>
        <v>Ενιαίο ολοκληρωμένο σύστημα ακαδημαϊκών βιβλιοθηκών (ILSaS)</v>
      </c>
      <c r="E380" t="s">
        <v>78</v>
      </c>
    </row>
    <row r="381" spans="1:5" x14ac:dyDescent="0.25">
      <c r="A381">
        <v>15391</v>
      </c>
      <c r="B381" t="s">
        <v>52</v>
      </c>
      <c r="C381" t="s">
        <v>76</v>
      </c>
      <c r="D381" t="str">
        <f>HYPERLINK("Https://www.gov.gr/ipiresies/ekpaideuse/katartise-kai-ekpaideutiko-periekhomeno/elektroniko-katastema-poleses-skholikon-biblion","Ηλεκτρονικό κατάστημα πώλησης σχολικών βιβλίων")</f>
        <v>Ηλεκτρονικό κατάστημα πώλησης σχολικών βιβλίων</v>
      </c>
      <c r="E381" t="s">
        <v>159</v>
      </c>
    </row>
    <row r="382" spans="1:5" x14ac:dyDescent="0.25">
      <c r="A382">
        <v>15699</v>
      </c>
      <c r="B382" t="s">
        <v>52</v>
      </c>
      <c r="C382" t="s">
        <v>76</v>
      </c>
      <c r="D382" t="str">
        <f>HYPERLINK("Https://www.gov.gr/ipiresies/ekpaideuse/katartise-kai-ekpaideutiko-periekhomeno/platphorma-ekpaideutikou-periekhomenou-metida","Πλατφόρμα εκπαιδευτικού περιεχομένου ΜΗΤΙΔΑ")</f>
        <v>Πλατφόρμα εκπαιδευτικού περιεχομένου ΜΗΤΙΔΑ</v>
      </c>
      <c r="E382" t="s">
        <v>157</v>
      </c>
    </row>
    <row r="383" spans="1:5" x14ac:dyDescent="0.25">
      <c r="A383">
        <v>15565</v>
      </c>
      <c r="B383" t="s">
        <v>52</v>
      </c>
      <c r="C383" t="s">
        <v>76</v>
      </c>
      <c r="D383" t="str">
        <f>HYPERLINK("Https://www.gov.gr/ipiresies/ekpaideuse/katartise-kai-ekpaideutiko-periekhomeno/polutropike-psephiake-bibliotheke-amelib-accessible-multi-modal-electronic-library","Πολυτροπική ψηφιακή βιβλιοθήκη AMELib (Accessible Multi-modal Electronic Library)")</f>
        <v>Πολυτροπική ψηφιακή βιβλιοθήκη AMELib (Accessible Multi-modal Electronic Library)</v>
      </c>
      <c r="E383" t="s">
        <v>78</v>
      </c>
    </row>
    <row r="384" spans="1:5" x14ac:dyDescent="0.25">
      <c r="A384">
        <v>15456</v>
      </c>
      <c r="B384" t="s">
        <v>52</v>
      </c>
      <c r="C384" t="s">
        <v>76</v>
      </c>
      <c r="D384" t="str">
        <f>HYPERLINK("Https://www.gov.gr/ipiresies/ekpaideuse/katartise-kai-ekpaideutiko-periekhomeno/ta-agglika-sto-psephiako-skholeio","Τα Αγγλικά στο Ψηφιακό Σχολείο")</f>
        <v>Τα Αγγλικά στο Ψηφιακό Σχολείο</v>
      </c>
      <c r="E384" t="s">
        <v>159</v>
      </c>
    </row>
    <row r="385" spans="1:5" x14ac:dyDescent="0.25">
      <c r="A385">
        <v>15457</v>
      </c>
      <c r="B385" t="s">
        <v>52</v>
      </c>
      <c r="C385" t="s">
        <v>76</v>
      </c>
      <c r="D385" t="str">
        <f>HYPERLINK("Https://www.gov.gr/ipiresies/ekpaideuse/katartise-kai-ekpaideutiko-periekhomeno/to-demotiko-sto-psephiako-skholeio","Το Δημοτικό στο Ψηφιακό Σχολείο")</f>
        <v>Το Δημοτικό στο Ψηφιακό Σχολείο</v>
      </c>
      <c r="E385" t="s">
        <v>159</v>
      </c>
    </row>
    <row r="386" spans="1:5" x14ac:dyDescent="0.25">
      <c r="A386">
        <v>15552</v>
      </c>
      <c r="B386" t="s">
        <v>52</v>
      </c>
      <c r="C386" t="s">
        <v>76</v>
      </c>
      <c r="D386" t="str">
        <f>HYPERLINK("Https://www.gov.gr/ipiresies/ekpaideuse/katartise-kai-ekpaideutiko-periekhomeno/photodentro-ethnikos-sussoreutes-ekpaideutikou-periekhomenou","Φωτόδεντρο (εθνικός συσσωρευτής εκπαιδευτικού περιεχομένου)")</f>
        <v>Φωτόδεντρο (εθνικός συσσωρευτής εκπαιδευτικού περιεχομένου)</v>
      </c>
      <c r="E386" t="s">
        <v>54</v>
      </c>
    </row>
    <row r="387" spans="1:5" x14ac:dyDescent="0.25">
      <c r="A387">
        <v>15554</v>
      </c>
      <c r="B387" t="s">
        <v>52</v>
      </c>
      <c r="C387" t="s">
        <v>76</v>
      </c>
      <c r="D387" t="str">
        <f>HYPERLINK("Https://www.gov.gr/ipiresies/ekpaideuse/katartise-kai-ekpaideutiko-periekhomeno/photodentro-edusoft-panellenio-apotheterio-ekpaideutikon-logismikon","Φωτόδεντρο edusoft (πανελλήνιο αποθετήριο εκπαιδευτικών λογισμικών)")</f>
        <v>Φωτόδεντρο edusoft (πανελλήνιο αποθετήριο εκπαιδευτικών λογισμικών)</v>
      </c>
      <c r="E387" t="s">
        <v>159</v>
      </c>
    </row>
    <row r="388" spans="1:5" x14ac:dyDescent="0.25">
      <c r="A388">
        <v>15553</v>
      </c>
      <c r="B388" t="s">
        <v>52</v>
      </c>
      <c r="C388" t="s">
        <v>76</v>
      </c>
      <c r="D388" t="str">
        <f>HYPERLINK("Https://www.gov.gr/ipiresies/ekpaideuse/katartise-kai-ekpaideutiko-periekhomeno/photodentro-e-yliko-khreston-panellenio-apotheterio-psephiakou-ulikou-ekpaideutikon","Φωτόδεντρο e-yliko χρηστών (πανελλήνιο αποθετήριο ψηφιακού υλικού εκπαιδευτικών)")</f>
        <v>Φωτόδεντρο e-yliko χρηστών (πανελλήνιο αποθετήριο ψηφιακού υλικού εκπαιδευτικών)</v>
      </c>
      <c r="E388" t="s">
        <v>159</v>
      </c>
    </row>
    <row r="389" spans="1:5" x14ac:dyDescent="0.25">
      <c r="A389">
        <v>15555</v>
      </c>
      <c r="B389" t="s">
        <v>52</v>
      </c>
      <c r="C389" t="s">
        <v>76</v>
      </c>
      <c r="D389" t="str">
        <f>HYPERLINK("Https://www.gov.gr/ipiresies/ekpaideuse/katartise-kai-ekpaideutiko-periekhomeno/photodentro-i-create-panellenio-apotheterio-psephiakon-mathetikon-demiourgion","Φωτόδεντρο i-create (πανελλήνιο αποθετήριο ψηφιακών μαθητικών δημιουργιών)")</f>
        <v>Φωτόδεντρο i-create (πανελλήνιο αποθετήριο ψηφιακών μαθητικών δημιουργιών)</v>
      </c>
      <c r="E389" t="s">
        <v>159</v>
      </c>
    </row>
    <row r="390" spans="1:5" x14ac:dyDescent="0.25">
      <c r="A390">
        <v>15556</v>
      </c>
      <c r="B390" t="s">
        <v>52</v>
      </c>
      <c r="C390" t="s">
        <v>76</v>
      </c>
      <c r="D390" t="str">
        <f>HYPERLINK("Https://www.gov.gr/ipiresies/ekpaideuse/katartise-kai-ekpaideutiko-periekhomeno/photodentro-lor-panellenio-apotheterio-mathesiakon-antikeimenon","Φωτόδεντρο LOR (πανελλήνιο αποθετήριο μαθησιακών αντικειμένων)")</f>
        <v>Φωτόδεντρο LOR (πανελλήνιο αποθετήριο μαθησιακών αντικειμένων)</v>
      </c>
      <c r="E390" t="s">
        <v>159</v>
      </c>
    </row>
    <row r="391" spans="1:5" x14ac:dyDescent="0.25">
      <c r="A391">
        <v>15557</v>
      </c>
      <c r="B391" t="s">
        <v>52</v>
      </c>
      <c r="C391" t="s">
        <v>76</v>
      </c>
      <c r="D391" t="str">
        <f>HYPERLINK("Https://www.gov.gr/ipiresies/ekpaideuse/katartise-kai-ekpaideutiko-periekhomeno/photodentro-oep-panellenio-apotheterio-anoikhton-ekpaideutikon-praktikon","Φωτόδεντρο OEP (πανελλήνιο αποθετήριο Ανοιχτών Εκπαιδευτικών Πρακτικών)")</f>
        <v>Φωτόδεντρο OEP (πανελλήνιο αποθετήριο Ανοιχτών Εκπαιδευτικών Πρακτικών)</v>
      </c>
      <c r="E391" t="s">
        <v>159</v>
      </c>
    </row>
    <row r="392" spans="1:5" x14ac:dyDescent="0.25">
      <c r="A392">
        <v>15558</v>
      </c>
      <c r="B392" t="s">
        <v>52</v>
      </c>
      <c r="C392" t="s">
        <v>76</v>
      </c>
      <c r="D392" t="str">
        <f>HYPERLINK("Https://www.gov.gr/ipiresies/ekpaideuse/katartise-kai-ekpaideutiko-periekhomeno/photodentro-video-panellenio-apotheterio-ekpaideutikon-binteo","Φωτόδεντρο Video (πανελλήνιο αποθετήριο εκπαιδευτικών βίντεο)")</f>
        <v>Φωτόδεντρο Video (πανελλήνιο αποθετήριο εκπαιδευτικών βίντεο)</v>
      </c>
      <c r="E392" t="s">
        <v>159</v>
      </c>
    </row>
    <row r="393" spans="1:5" x14ac:dyDescent="0.25">
      <c r="A393">
        <v>15559</v>
      </c>
      <c r="B393" t="s">
        <v>52</v>
      </c>
      <c r="C393" t="s">
        <v>76</v>
      </c>
      <c r="D393" t="str">
        <f>HYPERLINK("Https://www.gov.gr/ipiresies/ekpaideuse/katartise-kai-ekpaideutiko-periekhomeno/photodentro-politismos-thematikos-sussoreutes-politismikou-ekpaideutikou-periekhomenou","Φωτόδεντρο Πολιτισμός (θεματικός συσσωρευτής πολιτισμικού εκπαιδευτικού περιεχομένου)")</f>
        <v>Φωτόδεντρο Πολιτισμός (θεματικός συσσωρευτής πολιτισμικού εκπαιδευτικού περιεχομένου)</v>
      </c>
      <c r="E393" t="s">
        <v>159</v>
      </c>
    </row>
    <row r="394" spans="1:5" x14ac:dyDescent="0.25">
      <c r="A394">
        <v>15563</v>
      </c>
      <c r="B394" t="s">
        <v>52</v>
      </c>
      <c r="C394" t="s">
        <v>76</v>
      </c>
      <c r="D394" t="str">
        <f>HYPERLINK("Https://www.gov.gr/ipiresies/ekpaideuse/katartise-kai-ekpaideutiko-periekhomeno/psephiaka-ekpaideutika-boethemata-panelladikon-exetaseon","Ψηφιακά εκπαιδευτικά βοηθήματα πανελλαδικών εξετάσεων")</f>
        <v>Ψηφιακά εκπαιδευτικά βοηθήματα πανελλαδικών εξετάσεων</v>
      </c>
      <c r="E394" t="s">
        <v>159</v>
      </c>
    </row>
    <row r="395" spans="1:5" x14ac:dyDescent="0.25">
      <c r="A395">
        <v>15172</v>
      </c>
      <c r="B395" t="s">
        <v>52</v>
      </c>
      <c r="C395" t="s">
        <v>76</v>
      </c>
      <c r="D395" t="str">
        <f>HYPERLINK("Https://www.gov.gr/ipiresies/ekpaideuse/katartise-kai-ekpaideutiko-periekhomeno/psephiake-ekpaideutike-platphorma-gia-mathetes-kai-ekpaideutikous-e-me","Ψηφιακή εκπαιδευτική πλατφόρμα για μαθητές και εκπαιδευτικούς (e-me)")</f>
        <v>Ψηφιακή εκπαιδευτική πλατφόρμα για μαθητές και εκπαιδευτικούς (e-me)</v>
      </c>
      <c r="E395" t="s">
        <v>159</v>
      </c>
    </row>
    <row r="396" spans="1:5" x14ac:dyDescent="0.25">
      <c r="A396">
        <v>15214</v>
      </c>
      <c r="B396" t="s">
        <v>52</v>
      </c>
      <c r="C396" t="s">
        <v>79</v>
      </c>
      <c r="D396" t="str">
        <f>HYPERLINK("Https://www.gov.gr/ipiresies/ekpaideuse/panepistemia-kai-phoitese/akademaike-tautoteta","Ακαδημαϊκή ταυτότητα")</f>
        <v>Ακαδημαϊκή ταυτότητα</v>
      </c>
      <c r="E396" t="s">
        <v>54</v>
      </c>
    </row>
    <row r="397" spans="1:5" x14ac:dyDescent="0.25">
      <c r="A397">
        <v>15845</v>
      </c>
      <c r="B397" t="s">
        <v>52</v>
      </c>
      <c r="C397" t="s">
        <v>79</v>
      </c>
      <c r="D397" t="str">
        <f>HYPERLINK("Https://www.gov.gr/ipiresies/ekpaideuse/panepistemia-kai-phoitese/antigrapho-ptukhiou-aspaite-gia-te-stratologia-e-gia-alle-khrese","Αντίγραφο πτυχίου ΑΣΠΑΙΤΕ για τη στρατολογία ή για άλλη χρήση")</f>
        <v>Αντίγραφο πτυχίου ΑΣΠΑΙΤΕ για τη στρατολογία ή για άλλη χρήση</v>
      </c>
      <c r="E397" t="s">
        <v>54</v>
      </c>
    </row>
    <row r="398" spans="1:5" x14ac:dyDescent="0.25">
      <c r="A398">
        <v>15841</v>
      </c>
      <c r="B398" t="s">
        <v>52</v>
      </c>
      <c r="C398" t="s">
        <v>79</v>
      </c>
      <c r="D398" t="str">
        <f>HYPERLINK("Https://www.gov.gr/ipiresies/ekpaideuse/panepistemia-kai-phoitese/antigrapho-ptukhiou-panepistemiou-gia-te-stratologia-e-gia-alle-khrese","Αντίγραφο πτυχίου πανεπιστημίου για τη στρατολογία ή για άλλη χρήση")</f>
        <v>Αντίγραφο πτυχίου πανεπιστημίου για τη στρατολογία ή για άλλη χρήση</v>
      </c>
      <c r="E398" t="s">
        <v>54</v>
      </c>
    </row>
    <row r="399" spans="1:5" x14ac:dyDescent="0.25">
      <c r="A399">
        <v>15238</v>
      </c>
      <c r="B399" t="s">
        <v>52</v>
      </c>
      <c r="C399" t="s">
        <v>79</v>
      </c>
      <c r="D399" t="str">
        <f>HYPERLINK("Https://www.gov.gr/ipiresies/ekpaideuse/panepistemia-kai-phoitese/apotelesmata-panelladikon-exetaseon","Αποτελέσματα πανελλαδικών εξετάσεων")</f>
        <v>Αποτελέσματα πανελλαδικών εξετάσεων</v>
      </c>
      <c r="E399" t="s">
        <v>54</v>
      </c>
    </row>
    <row r="400" spans="1:5" x14ac:dyDescent="0.25">
      <c r="A400">
        <v>15275</v>
      </c>
      <c r="B400" t="s">
        <v>52</v>
      </c>
      <c r="C400" t="s">
        <v>79</v>
      </c>
      <c r="D400" t="str">
        <f>HYPERLINK("Https://www.gov.gr/ipiresies/ekpaideuse/panepistemia-kai-phoitese/delos-365","ΔΗΛΟΣ 365")</f>
        <v>ΔΗΛΟΣ 365</v>
      </c>
      <c r="E400" t="s">
        <v>146</v>
      </c>
    </row>
    <row r="401" spans="1:5" x14ac:dyDescent="0.25">
      <c r="A401">
        <v>15302</v>
      </c>
      <c r="B401" t="s">
        <v>52</v>
      </c>
      <c r="C401" t="s">
        <v>79</v>
      </c>
      <c r="D401" t="str">
        <f>HYPERLINK("Https://www.gov.gr/ipiresies/ekpaideuse/panepistemia-kai-phoitese/eggraphes-protoeton-phoiteton","Εγγραφές πρωτοετών φοιτητών")</f>
        <v>Εγγραφές πρωτοετών φοιτητών</v>
      </c>
      <c r="E401" t="s">
        <v>54</v>
      </c>
    </row>
    <row r="402" spans="1:5" x14ac:dyDescent="0.25">
      <c r="A402">
        <v>15291</v>
      </c>
      <c r="B402" t="s">
        <v>52</v>
      </c>
      <c r="C402" t="s">
        <v>79</v>
      </c>
      <c r="D402" t="str">
        <f>HYPERLINK("Https://www.gov.gr/ipiresies/ekpaideuse/panepistemia-kai-phoitese/zontanes-diadiktuakes-metadoseis-diaulos","Ζωντανές διαδικτυακές μεταδόσεις (ΔΙΑΥΛΟΣ)")</f>
        <v>Ζωντανές διαδικτυακές μεταδόσεις (ΔΙΑΥΛΟΣ)</v>
      </c>
      <c r="E402" t="s">
        <v>146</v>
      </c>
    </row>
    <row r="403" spans="1:5" x14ac:dyDescent="0.25">
      <c r="A403">
        <v>15431</v>
      </c>
      <c r="B403" t="s">
        <v>52</v>
      </c>
      <c r="C403" t="s">
        <v>79</v>
      </c>
      <c r="D403" t="str">
        <f>HYPERLINK("Https://www.gov.gr/ipiresies/ekpaideuse/panepistemia-kai-phoitese/meteggraphes","Μετεγγραφές")</f>
        <v>Μετεγγραφές</v>
      </c>
      <c r="E403" t="s">
        <v>54</v>
      </c>
    </row>
    <row r="404" spans="1:5" x14ac:dyDescent="0.25">
      <c r="A404">
        <v>15432</v>
      </c>
      <c r="B404" t="s">
        <v>52</v>
      </c>
      <c r="C404" t="s">
        <v>79</v>
      </c>
      <c r="D404" t="str">
        <f>HYPERLINK("Https://www.gov.gr/ipiresies/ekpaideuse/panepistemia-kai-phoitese/meteggraphes-adelphon","Μετεγγραφές αδελφών")</f>
        <v>Μετεγγραφές αδελφών</v>
      </c>
      <c r="E404" t="s">
        <v>54</v>
      </c>
    </row>
    <row r="405" spans="1:5" x14ac:dyDescent="0.25">
      <c r="A405">
        <v>15433</v>
      </c>
      <c r="B405" t="s">
        <v>52</v>
      </c>
      <c r="C405" t="s">
        <v>79</v>
      </c>
      <c r="D405" t="str">
        <f>HYPERLINK("Https://www.gov.gr/ipiresies/ekpaideuse/panepistemia-kai-phoitese/meteggraphes-katexairese","Μετεγγραφές κατ΄εξαίρεση")</f>
        <v>Μετεγγραφές κατ΄εξαίρεση</v>
      </c>
      <c r="E405" t="s">
        <v>54</v>
      </c>
    </row>
    <row r="406" spans="1:5" x14ac:dyDescent="0.25">
      <c r="A406">
        <v>15434</v>
      </c>
      <c r="B406" t="s">
        <v>52</v>
      </c>
      <c r="C406" t="s">
        <v>79</v>
      </c>
      <c r="D406" t="str">
        <f>HYPERLINK("Https://www.gov.gr/ipiresies/ekpaideuse/panepistemia-kai-phoitese/meteggraphes-phoiteton-kupriakes-katagoges","Μετεγγραφές φοιτητών κυπριακής καταγωγής")</f>
        <v>Μετεγγραφές φοιτητών κυπριακής καταγωγής</v>
      </c>
      <c r="E406" t="s">
        <v>54</v>
      </c>
    </row>
    <row r="407" spans="1:5" x14ac:dyDescent="0.25">
      <c r="A407">
        <v>15452</v>
      </c>
      <c r="B407" t="s">
        <v>52</v>
      </c>
      <c r="C407" t="s">
        <v>79</v>
      </c>
      <c r="D407" t="str">
        <f>HYPERLINK("Https://www.gov.gr/ipiresies/ekpaideuse/panepistemia-kai-phoitese/mekhanographiko","Μηχανογραφικό")</f>
        <v>Μηχανογραφικό</v>
      </c>
      <c r="E407" t="s">
        <v>54</v>
      </c>
    </row>
    <row r="408" spans="1:5" x14ac:dyDescent="0.25">
      <c r="A408">
        <v>15453</v>
      </c>
      <c r="B408" t="s">
        <v>52</v>
      </c>
      <c r="C408" t="s">
        <v>79</v>
      </c>
      <c r="D408" t="str">
        <f>HYPERLINK("Https://www.gov.gr/ipiresies/ekpaideuse/panepistemia-kai-phoitese/mekhanographiko-allogenon","Μηχανογραφικό αλλογενών")</f>
        <v>Μηχανογραφικό αλλογενών</v>
      </c>
      <c r="E408" t="s">
        <v>54</v>
      </c>
    </row>
    <row r="409" spans="1:5" x14ac:dyDescent="0.25">
      <c r="A409">
        <v>15454</v>
      </c>
      <c r="B409" t="s">
        <v>52</v>
      </c>
      <c r="C409" t="s">
        <v>79</v>
      </c>
      <c r="D409" t="str">
        <f>HYPERLINK("Https://www.gov.gr/ipiresies/ekpaideuse/panepistemia-kai-phoitese/mekhanographiko-omogenon","Μηχανογραφικό ομογενών")</f>
        <v>Μηχανογραφικό ομογενών</v>
      </c>
      <c r="E409" t="s">
        <v>54</v>
      </c>
    </row>
    <row r="410" spans="1:5" x14ac:dyDescent="0.25">
      <c r="A410">
        <v>15455</v>
      </c>
      <c r="B410" t="s">
        <v>52</v>
      </c>
      <c r="C410" t="s">
        <v>79</v>
      </c>
      <c r="D410" t="str">
        <f>HYPERLINK("Https://www.gov.gr/ipiresies/ekpaideuse/panepistemia-kai-phoitese/mekhanographiko-sobaron-patheseon","Μηχανογραφικό σοβαρών παθήσεων")</f>
        <v>Μηχανογραφικό σοβαρών παθήσεων</v>
      </c>
      <c r="E410" t="s">
        <v>54</v>
      </c>
    </row>
    <row r="411" spans="1:5" x14ac:dyDescent="0.25">
      <c r="A411">
        <v>16450</v>
      </c>
      <c r="B411" t="s">
        <v>52</v>
      </c>
      <c r="C411" t="s">
        <v>79</v>
      </c>
      <c r="D411" t="str">
        <f>HYPERLINK("Https://www.gov.gr/ipiresies/ekpaideuse/panepistemia-kai-phoitese/panelladikes-exetaseis-2022-enemerose-meso-kinetou-telephonou","Πανελλαδικές Εξετάσεις 2022: Ενημέρωση μέσω κινητού τηλεφώνου")</f>
        <v>Πανελλαδικές Εξετάσεις 2022: Ενημέρωση μέσω κινητού τηλεφώνου</v>
      </c>
      <c r="E411" t="s">
        <v>54</v>
      </c>
    </row>
    <row r="412" spans="1:5" x14ac:dyDescent="0.25">
      <c r="A412">
        <v>16462</v>
      </c>
      <c r="B412" t="s">
        <v>52</v>
      </c>
      <c r="C412" t="s">
        <v>79</v>
      </c>
      <c r="D412" t="str">
        <f>HYPERLINK("Https://www.gov.gr/ipiresies/ekpaideuse/panepistemia-kai-phoitese/parallelo-mekhanographiko-gia-eisagoge-se-demosio-iek","Παράλληλο μηχανογραφικό για εισαγωγή σε Δημόσιο ΙΕΚ")</f>
        <v>Παράλληλο μηχανογραφικό για εισαγωγή σε Δημόσιο ΙΕΚ</v>
      </c>
      <c r="E412" t="s">
        <v>54</v>
      </c>
    </row>
    <row r="413" spans="1:5" x14ac:dyDescent="0.25">
      <c r="A413">
        <v>15847</v>
      </c>
      <c r="B413" t="s">
        <v>52</v>
      </c>
      <c r="C413" t="s">
        <v>79</v>
      </c>
      <c r="D413" t="str">
        <f>HYPERLINK("Https://www.gov.gr/ipiresies/ekpaideuse/panepistemia-kai-phoitese/pistopoietiko-analutikes-bathmologias-aspaite","Πιστοποιητικό αναλυτικής βαθμολογίας (ΑΣΠΑΙΤΕ)")</f>
        <v>Πιστοποιητικό αναλυτικής βαθμολογίας (ΑΣΠΑΙΤΕ)</v>
      </c>
      <c r="E413" t="s">
        <v>54</v>
      </c>
    </row>
    <row r="414" spans="1:5" x14ac:dyDescent="0.25">
      <c r="A414">
        <v>15844</v>
      </c>
      <c r="B414" t="s">
        <v>52</v>
      </c>
      <c r="C414" t="s">
        <v>79</v>
      </c>
      <c r="D414" t="str">
        <f>HYPERLINK("Https://www.gov.gr/ipiresies/ekpaideuse/panepistemia-kai-phoitese/pistopoietiko-analutikes-bathmologias-panepistemiou","Πιστοποιητικό αναλυτικής βαθμολογίας πανεπιστημίου")</f>
        <v>Πιστοποιητικό αναλυτικής βαθμολογίας πανεπιστημίου</v>
      </c>
      <c r="E414" t="s">
        <v>54</v>
      </c>
    </row>
    <row r="415" spans="1:5" x14ac:dyDescent="0.25">
      <c r="A415">
        <v>15880</v>
      </c>
      <c r="B415" t="s">
        <v>52</v>
      </c>
      <c r="C415" t="s">
        <v>79</v>
      </c>
      <c r="D415" t="str">
        <f>HYPERLINK("Https://www.gov.gr/ipiresies/ekpaideuse/panepistemia-kai-phoitese/pistopoietiko-apophoiteses-apo-akademia-emporikou-nautikou-aen","Πιστοποιητικό αποφοίτησης από Ακαδημία Εμπορικού Ναυτικού (ΑΕΝ)")</f>
        <v>Πιστοποιητικό αποφοίτησης από Ακαδημία Εμπορικού Ναυτικού (ΑΕΝ)</v>
      </c>
      <c r="E415" t="s">
        <v>54</v>
      </c>
    </row>
    <row r="416" spans="1:5" x14ac:dyDescent="0.25">
      <c r="A416">
        <v>15846</v>
      </c>
      <c r="B416" t="s">
        <v>52</v>
      </c>
      <c r="C416" t="s">
        <v>79</v>
      </c>
      <c r="D416" t="str">
        <f>HYPERLINK("Https://www.gov.gr/ipiresies/ekpaideuse/panepistemia-kai-phoitese/pistopoietiko-spoudastikes-katastases-aspaite","Πιστοποιητικό σπουδαστικής κατάστασης (ΑΣΠΑΙΤΕ)")</f>
        <v>Πιστοποιητικό σπουδαστικής κατάστασης (ΑΣΠΑΙΤΕ)</v>
      </c>
      <c r="E416" t="s">
        <v>54</v>
      </c>
    </row>
    <row r="417" spans="1:5" x14ac:dyDescent="0.25">
      <c r="A417">
        <v>15842</v>
      </c>
      <c r="B417" t="s">
        <v>52</v>
      </c>
      <c r="C417" t="s">
        <v>79</v>
      </c>
      <c r="D417" t="str">
        <f>HYPERLINK("Https://www.gov.gr/ipiresies/ekpaideuse/panepistemia-kai-phoitese/pistopoietiko-spoudon-panepistemiou","Πιστοποιητικό σπουδών πανεπιστημίου")</f>
        <v>Πιστοποιητικό σπουδών πανεπιστημίου</v>
      </c>
      <c r="E417" t="s">
        <v>54</v>
      </c>
    </row>
    <row r="418" spans="1:5" x14ac:dyDescent="0.25">
      <c r="A418">
        <v>15848</v>
      </c>
      <c r="B418" t="s">
        <v>52</v>
      </c>
      <c r="C418" t="s">
        <v>79</v>
      </c>
      <c r="D418" t="str">
        <f>HYPERLINK("Https://www.gov.gr/ipiresies/ekpaideuse/panepistemia-kai-phoitese/pistopoietiko-phoiteses-se-akademia-emporikou-nautikou-aen","Πιστοποιητικό φοίτησης σε Ακαδημία Εμπορικού Ναυτικού (ΑΕΝ)")</f>
        <v>Πιστοποιητικό φοίτησης σε Ακαδημία Εμπορικού Ναυτικού (ΑΕΝ)</v>
      </c>
      <c r="E418" t="s">
        <v>54</v>
      </c>
    </row>
    <row r="419" spans="1:5" x14ac:dyDescent="0.25">
      <c r="A419">
        <v>15242</v>
      </c>
      <c r="B419" t="s">
        <v>52</v>
      </c>
      <c r="C419" t="s">
        <v>79</v>
      </c>
      <c r="D419" t="str">
        <f>HYPERLINK("Https://www.gov.gr/ipiresies/ekpaideuse/panepistemia-kai-phoitese/praktike-askese-atlas","Πρακτική άσκηση (ΑΤΛΑΣ)")</f>
        <v>Πρακτική άσκηση (ΑΤΛΑΣ)</v>
      </c>
      <c r="E419" t="s">
        <v>146</v>
      </c>
    </row>
    <row r="420" spans="1:5" x14ac:dyDescent="0.25">
      <c r="A420">
        <v>15230</v>
      </c>
      <c r="B420" t="s">
        <v>52</v>
      </c>
      <c r="C420" t="s">
        <v>79</v>
      </c>
      <c r="D420" t="str">
        <f>HYPERLINK("Https://www.gov.gr/ipiresies/ekpaideuse/panepistemia-kai-phoitese/prokeruxeis-kai-diadikasies-ekloges-kathegeton-aei-apella","Προκηρύξεις και διαδικασίες εκλογής καθηγητών ΑΕΙ (ΑΠΕΛΛΑ)")</f>
        <v>Προκηρύξεις και διαδικασίες εκλογής καθηγητών ΑΕΙ (ΑΠΕΛΛΑ)</v>
      </c>
      <c r="E420" t="s">
        <v>54</v>
      </c>
    </row>
    <row r="421" spans="1:5" x14ac:dyDescent="0.25">
      <c r="A421">
        <v>15348</v>
      </c>
      <c r="B421" t="s">
        <v>52</v>
      </c>
      <c r="C421" t="s">
        <v>79</v>
      </c>
      <c r="D421" t="str">
        <f>HYPERLINK("Https://www.gov.gr/ipiresies/ekpaideuse/panepistemia-kai-phoitese/suggrammata-eudoxos","Συγγράμματα - Εύδοξος")</f>
        <v>Συγγράμματα - Εύδοξος</v>
      </c>
      <c r="E421" t="s">
        <v>54</v>
      </c>
    </row>
    <row r="422" spans="1:5" x14ac:dyDescent="0.25">
      <c r="A422">
        <v>15543</v>
      </c>
      <c r="B422" t="s">
        <v>52</v>
      </c>
      <c r="C422" t="s">
        <v>79</v>
      </c>
      <c r="D422" t="str">
        <f>HYPERLINK("Https://www.gov.gr/ipiresies/ekpaideuse/panepistemia-kai-phoitese/upologismos-morion-panelladikes-exetaseis","Υπολογισμός μορίων (πανελλαδικές εξετάσεις)")</f>
        <v>Υπολογισμός μορίων (πανελλαδικές εξετάσεις)</v>
      </c>
      <c r="E422" t="s">
        <v>54</v>
      </c>
    </row>
    <row r="423" spans="1:5" x14ac:dyDescent="0.25">
      <c r="A423">
        <v>15544</v>
      </c>
      <c r="B423" t="s">
        <v>52</v>
      </c>
      <c r="C423" t="s">
        <v>79</v>
      </c>
      <c r="D423" t="str">
        <f>HYPERLINK("Https://www.gov.gr/ipiresies/ekpaideuse/panepistemia-kai-phoitese/upotrophies-iku","Υποτροφίες ΙΚΥ")</f>
        <v>Υποτροφίες ΙΚΥ</v>
      </c>
      <c r="E423" t="s">
        <v>54</v>
      </c>
    </row>
    <row r="424" spans="1:5" x14ac:dyDescent="0.25">
      <c r="A424">
        <v>15463</v>
      </c>
      <c r="B424" t="s">
        <v>52</v>
      </c>
      <c r="C424" t="s">
        <v>79</v>
      </c>
      <c r="D424" t="str">
        <f>HYPERLINK("Https://www.gov.gr/ipiresies/ekpaideuse/panepistemia-kai-phoitese/phoitetiko-stegastiko-epidoma","Φοιτητικό στεγαστικό επίδομα")</f>
        <v>Φοιτητικό στεγαστικό επίδομα</v>
      </c>
      <c r="E424" t="s">
        <v>54</v>
      </c>
    </row>
    <row r="425" spans="1:5" x14ac:dyDescent="0.25">
      <c r="A425">
        <v>16667</v>
      </c>
      <c r="B425" t="s">
        <v>52</v>
      </c>
      <c r="C425" t="s">
        <v>84</v>
      </c>
      <c r="D425" t="str">
        <f>HYPERLINK("Https://www.gov.gr/ipiresies/ekpaideuse/psephiakes-dexiotetes/anabathmise-kai-pistopoiese-psephiakon-dexioteton-anergon-se-cloud-uperesies-tes-microsoft","Αναβάθμιση και πιστοποίηση ψηφιακών δεξιοτήτων ανέργων σε cloud υπηρεσίες της Microsoft")</f>
        <v>Αναβάθμιση και πιστοποίηση ψηφιακών δεξιοτήτων ανέργων σε cloud υπηρεσίες της Microsoft</v>
      </c>
      <c r="E425" t="s">
        <v>66</v>
      </c>
    </row>
    <row r="426" spans="1:5" x14ac:dyDescent="0.25">
      <c r="A426">
        <v>15641</v>
      </c>
      <c r="B426" t="s">
        <v>52</v>
      </c>
      <c r="C426" t="s">
        <v>84</v>
      </c>
      <c r="D426" t="str">
        <f>HYPERLINK("Https://www.gov.gr/ipiresies/ekpaideuse/psephiakes-dexiotetes/psephiake-akademia-politon","Εθνική ακαδημία ψηφιακών ικανοτήτων")</f>
        <v>Εθνική ακαδημία ψηφιακών ικανοτήτων</v>
      </c>
      <c r="E426" t="s">
        <v>26</v>
      </c>
    </row>
    <row r="427" spans="1:5" x14ac:dyDescent="0.25">
      <c r="A427">
        <v>16368</v>
      </c>
      <c r="B427" t="s">
        <v>52</v>
      </c>
      <c r="C427" t="s">
        <v>84</v>
      </c>
      <c r="D427" t="str">
        <f>HYPERLINK("Https://www.gov.gr/ipiresies/ekpaideuse/psephiakes-dexiotetes/epitage-voucher-gia-ten-agora-tekhnologikou-exoplismou-apo-to-programma-psephiake-merimna-ii","Επιταγή (voucher) για την αγορά τεχνολογικού εξοπλισμού από το πρόγραμμα Ψηφιακή Μέριμνα ΙΙ")</f>
        <v>Επιταγή (voucher) για την αγορά τεχνολογικού εξοπλισμού από το πρόγραμμα Ψηφιακή Μέριμνα ΙΙ</v>
      </c>
      <c r="E427" t="s">
        <v>54</v>
      </c>
    </row>
    <row r="428" spans="1:5" x14ac:dyDescent="0.25">
      <c r="A428">
        <v>16349</v>
      </c>
      <c r="B428" t="s">
        <v>5</v>
      </c>
      <c r="C428" t="s">
        <v>23</v>
      </c>
      <c r="D428" t="str">
        <f>HYPERLINK("Https://www.gov.gr/ipiresies/epikheirematike-drasterioteta/adeiodoteseis-kai-summorphose/koinopoiese-peristatikou-parabiases-prosopikon-dedomenon-apo-parokhous-elektronikon-epikoinonion","Kοινοποίηση περιστατικού παραβίασης προσωπικών δεδομένων από παρόχους ηλεκτρονικών επικοινωνιών")</f>
        <v>Kοινοποίηση περιστατικού παραβίασης προσωπικών δεδομένων από παρόχους ηλεκτρονικών επικοινωνιών</v>
      </c>
      <c r="E428" t="s">
        <v>24</v>
      </c>
    </row>
    <row r="429" spans="1:5" x14ac:dyDescent="0.25">
      <c r="A429">
        <v>16811</v>
      </c>
      <c r="B429" t="s">
        <v>5</v>
      </c>
      <c r="C429" t="s">
        <v>23</v>
      </c>
      <c r="D429" t="str">
        <f>HYPERLINK("Https://www.gov.gr/ipiresies/epikheirematike-drasterioteta/adeiodoteseis-kai-summorphose/myphoto-gia-photographous","myPhoto για φωτογράφους")</f>
        <v>myPhoto για φωτογράφους</v>
      </c>
      <c r="E429" t="s">
        <v>26</v>
      </c>
    </row>
    <row r="430" spans="1:5" x14ac:dyDescent="0.25">
      <c r="A430">
        <v>15394</v>
      </c>
      <c r="B430" t="s">
        <v>5</v>
      </c>
      <c r="C430" t="s">
        <v>23</v>
      </c>
      <c r="D430" t="str">
        <f>HYPERLINK("Https://www.gov.gr/ipiresies/epikheirematike-drasterioteta/adeiodoteseis-kai-summorphose/adeia-katokhes-kunegetikou-oplou","Άδεια κατοχής κυνηγετικού όπλου")</f>
        <v>Άδεια κατοχής κυνηγετικού όπλου</v>
      </c>
      <c r="E430" t="s">
        <v>29</v>
      </c>
    </row>
    <row r="431" spans="1:5" x14ac:dyDescent="0.25">
      <c r="A431">
        <v>16041</v>
      </c>
      <c r="B431" t="s">
        <v>5</v>
      </c>
      <c r="C431" t="s">
        <v>23</v>
      </c>
      <c r="D431" t="str">
        <f>HYPERLINK("Https://www.gov.gr/ipiresies/epikheirematike-drasterioteta/adeiodoteseis-kai-summorphose/adeia-leitourgias-kentrou-apotherapeias-apokatastases","Άδεια λειτουργίας κέντρου αποθεραπείας / αποκατάστασης")</f>
        <v>Άδεια λειτουργίας κέντρου αποθεραπείας / αποκατάστασης</v>
      </c>
      <c r="E431" t="s">
        <v>31</v>
      </c>
    </row>
    <row r="432" spans="1:5" x14ac:dyDescent="0.25">
      <c r="A432">
        <v>16042</v>
      </c>
      <c r="B432" t="s">
        <v>5</v>
      </c>
      <c r="C432" t="s">
        <v>23</v>
      </c>
      <c r="D432" t="str">
        <f>HYPERLINK("Https://www.gov.gr/ipiresies/epikheirematike-drasterioteta/adeiodoteseis-kai-summorphose/adeia-leitourgias-monadas-phrontidas-elikiomenon","Άδεια λειτουργίας μονάδας φροντίδας ηλικιωμένων")</f>
        <v>Άδεια λειτουργίας μονάδας φροντίδας ηλικιωμένων</v>
      </c>
      <c r="E432" t="s">
        <v>31</v>
      </c>
    </row>
    <row r="433" spans="1:5" x14ac:dyDescent="0.25">
      <c r="A433">
        <v>16040</v>
      </c>
      <c r="B433" t="s">
        <v>5</v>
      </c>
      <c r="C433" t="s">
        <v>23</v>
      </c>
      <c r="D433" t="str">
        <f>HYPERLINK("Https://www.gov.gr/ipiresies/epikheirematike-drasterioteta/adeiodoteseis-kai-summorphose/adeia-leitourgias-paidikes-exokhes","Άδεια λειτουργίας παιδικής εξοχής")</f>
        <v>Άδεια λειτουργίας παιδικής εξοχής</v>
      </c>
      <c r="E433" t="s">
        <v>31</v>
      </c>
    </row>
    <row r="434" spans="1:5" x14ac:dyDescent="0.25">
      <c r="A434">
        <v>16037</v>
      </c>
      <c r="B434" t="s">
        <v>5</v>
      </c>
      <c r="C434" t="s">
        <v>23</v>
      </c>
      <c r="D434" t="str">
        <f>HYPERLINK("Https://www.gov.gr/ipiresies/epikheirematike-drasterioteta/adeiodoteseis-kai-summorphose/adeia-leitourgias-prateriou-ugraeriou-miktou-prateriou-parokhes-kausimon-kai-energeias","Άδεια λειτουργίας πρατηρίου υγραερίου / μικτού πρατηρίου παροχής καυσίμων και ενέργειας")</f>
        <v>Άδεια λειτουργίας πρατηρίου υγραερίου / μικτού πρατηρίου παροχής καυσίμων και ενέργειας</v>
      </c>
      <c r="E434" t="s">
        <v>31</v>
      </c>
    </row>
    <row r="435" spans="1:5" x14ac:dyDescent="0.25">
      <c r="A435">
        <v>16038</v>
      </c>
      <c r="B435" t="s">
        <v>5</v>
      </c>
      <c r="C435" t="s">
        <v>23</v>
      </c>
      <c r="D435" t="str">
        <f>HYPERLINK("Https://www.gov.gr/ipiresies/epikheirematike-drasterioteta/adeiodoteseis-kai-summorphose/adeia-leitourgias-prateriou-ugron-kausimon","Άδεια λειτουργίας πρατηρίου υγρών καυσίμων")</f>
        <v>Άδεια λειτουργίας πρατηρίου υγρών καυσίμων</v>
      </c>
      <c r="E435" t="s">
        <v>31</v>
      </c>
    </row>
    <row r="436" spans="1:5" x14ac:dyDescent="0.25">
      <c r="A436">
        <v>16071</v>
      </c>
      <c r="B436" t="s">
        <v>5</v>
      </c>
      <c r="C436" t="s">
        <v>23</v>
      </c>
      <c r="D436" t="str">
        <f>HYPERLINK("Https://www.gov.gr/ipiresies/epikheirematike-drasterioteta/adeiodoteseis-kai-summorphose/adeia-leitourgias-prateriou-ugron-kausimon-idiotikes-khreses","Άδεια λειτουργίας πρατήριου υγρών καυσίμων ιδιωτικής χρήσης")</f>
        <v>Άδεια λειτουργίας πρατήριου υγρών καυσίμων ιδιωτικής χρήσης</v>
      </c>
      <c r="E436" t="s">
        <v>31</v>
      </c>
    </row>
    <row r="437" spans="1:5" x14ac:dyDescent="0.25">
      <c r="A437">
        <v>16074</v>
      </c>
      <c r="B437" t="s">
        <v>5</v>
      </c>
      <c r="C437" t="s">
        <v>23</v>
      </c>
      <c r="D437" t="str">
        <f>HYPERLINK("Https://www.gov.gr/ipiresies/epikheirematike-drasterioteta/adeiodoteseis-kai-summorphose/adeia-leitourgias-prateriou-ugron-kausimon-kai-energeias-entos-limenikes-zones-kai-touristikon-limenon","Άδεια λειτουργίας πρατηρίου υγρών καυσίμων και ενέργειας εντός λιμενικής ζώνης και τουριστικών λιμένων")</f>
        <v>Άδεια λειτουργίας πρατηρίου υγρών καυσίμων και ενέργειας εντός λιμενικής ζώνης και τουριστικών λιμένων</v>
      </c>
      <c r="E437" t="s">
        <v>31</v>
      </c>
    </row>
    <row r="438" spans="1:5" x14ac:dyDescent="0.25">
      <c r="A438">
        <v>16027</v>
      </c>
      <c r="B438" t="s">
        <v>5</v>
      </c>
      <c r="C438" t="s">
        <v>23</v>
      </c>
      <c r="D438" t="str">
        <f>HYPERLINK("Https://www.gov.gr/ipiresies/epikheirematike-drasterioteta/adeiodoteseis-kai-summorphose/adeia-leitourgias-prateriou-phusikou-aeriou-e-miktou-prateriou-kausimon-kai-energeias","Άδεια λειτουργίας πρατηρίου φυσικού αερίου ή μικτού πρατηρίου καυσίμων και ενέργειας")</f>
        <v>Άδεια λειτουργίας πρατηρίου φυσικού αερίου ή μικτού πρατηρίου καυσίμων και ενέργειας</v>
      </c>
      <c r="E438" t="s">
        <v>31</v>
      </c>
    </row>
    <row r="439" spans="1:5" x14ac:dyDescent="0.25">
      <c r="A439">
        <v>16065</v>
      </c>
      <c r="B439" t="s">
        <v>5</v>
      </c>
      <c r="C439" t="s">
        <v>23</v>
      </c>
      <c r="D439" t="str">
        <f>HYPERLINK("Https://www.gov.gr/ipiresies/epikheirematike-drasterioteta/adeiodoteseis-kai-summorphose/adeia-metakineses-leophoreion-demosias-khreses-ldkh-sto-exoteriko","Άδεια μετακίνησης λεωφορείων δημοσίας χρήσης (ΛΔΧ) στο εξωτερικό")</f>
        <v>Άδεια μετακίνησης λεωφορείων δημοσίας χρήσης (ΛΔΧ) στο εξωτερικό</v>
      </c>
      <c r="E439" t="s">
        <v>31</v>
      </c>
    </row>
    <row r="440" spans="1:5" x14ac:dyDescent="0.25">
      <c r="A440">
        <v>16171</v>
      </c>
      <c r="B440" t="s">
        <v>5</v>
      </c>
      <c r="C440" t="s">
        <v>23</v>
      </c>
      <c r="D440" t="str">
        <f>HYPERLINK("Https://www.gov.gr/ipiresies/epikheirematike-drasterioteta/adeiodoteseis-kai-summorphose/adeia-metaphorea-zonton-zoon-tupou-i","Άδεια μεταφορέα ζώντων ζώων τύπου I")</f>
        <v>Άδεια μεταφορέα ζώντων ζώων τύπου I</v>
      </c>
      <c r="E440" t="s">
        <v>31</v>
      </c>
    </row>
    <row r="441" spans="1:5" x14ac:dyDescent="0.25">
      <c r="A441">
        <v>16172</v>
      </c>
      <c r="B441" t="s">
        <v>5</v>
      </c>
      <c r="C441" t="s">
        <v>23</v>
      </c>
      <c r="D441" t="str">
        <f>HYPERLINK("Https://www.gov.gr/ipiresies/epikheirematike-drasterioteta/adeiodoteseis-kai-summorphose/adeia-metaphorea-zonton-zoon-tupou-ii","Άδεια μεταφορέα ζώντων ζώων τύπου IΙ")</f>
        <v>Άδεια μεταφορέα ζώντων ζώων τύπου IΙ</v>
      </c>
      <c r="E441" t="s">
        <v>31</v>
      </c>
    </row>
    <row r="442" spans="1:5" x14ac:dyDescent="0.25">
      <c r="A442">
        <v>16487</v>
      </c>
      <c r="B442" t="s">
        <v>5</v>
      </c>
      <c r="C442" t="s">
        <v>23</v>
      </c>
      <c r="D442" t="str">
        <f>HYPERLINK("Https://www.gov.gr/ipiresies/epikheirematike-drasterioteta/adeiodoteseis-kai-summorphose/adeia-nauagososte","Άδεια ναυαγοσώστη")</f>
        <v>Άδεια ναυαγοσώστη</v>
      </c>
      <c r="E442" t="s">
        <v>37</v>
      </c>
    </row>
    <row r="443" spans="1:5" x14ac:dyDescent="0.25">
      <c r="A443">
        <v>16489</v>
      </c>
      <c r="B443" t="s">
        <v>5</v>
      </c>
      <c r="C443" t="s">
        <v>23</v>
      </c>
      <c r="D443" t="str">
        <f>HYPERLINK("Https://www.gov.gr/ipiresies/epikheirematike-drasterioteta/adeiodoteseis-kai-summorphose/adeia-nauagososte-aneu-exetaseon","Άδεια ναυαγοσώστη άνευ εξετάσεων")</f>
        <v>Άδεια ναυαγοσώστη άνευ εξετάσεων</v>
      </c>
      <c r="E443" t="s">
        <v>37</v>
      </c>
    </row>
    <row r="444" spans="1:5" x14ac:dyDescent="0.25">
      <c r="A444">
        <v>15985</v>
      </c>
      <c r="B444" t="s">
        <v>5</v>
      </c>
      <c r="C444" t="s">
        <v>23</v>
      </c>
      <c r="D444" t="str">
        <f>HYPERLINK("Https://www.gov.gr/ipiresies/epikheirematike-drasterioteta/adeiodoteseis-kai-summorphose/adeia-odegeses-epibategou-demosias-khreses-edkh-autokinetou","Άδεια οδήγησης Επιβατηγού Δημόσιας Χρήσης (ΕΔΧ) αυτοκινήτου")</f>
        <v>Άδεια οδήγησης Επιβατηγού Δημόσιας Χρήσης (ΕΔΧ) αυτοκινήτου</v>
      </c>
      <c r="E444" t="s">
        <v>31</v>
      </c>
    </row>
    <row r="445" spans="1:5" x14ac:dyDescent="0.25">
      <c r="A445">
        <v>15379</v>
      </c>
      <c r="B445" t="s">
        <v>5</v>
      </c>
      <c r="C445" t="s">
        <v>23</v>
      </c>
      <c r="D445" t="str">
        <f>HYPERLINK("Https://www.gov.gr/ipiresies/epikheirematike-drasterioteta/adeiodoteseis-kai-summorphose/adeia-oplophorias","Άδεια οπλοφορίας")</f>
        <v>Άδεια οπλοφορίας</v>
      </c>
      <c r="E445" t="s">
        <v>29</v>
      </c>
    </row>
    <row r="446" spans="1:5" x14ac:dyDescent="0.25">
      <c r="A446">
        <v>15986</v>
      </c>
      <c r="B446" t="s">
        <v>5</v>
      </c>
      <c r="C446" t="s">
        <v>23</v>
      </c>
      <c r="D446" t="str">
        <f>HYPERLINK("Https://www.gov.gr/ipiresies/epikheirematike-drasterioteta/adeiodoteseis-kai-summorphose/adeia-poleses-tupopoiemenon-trophimon-kai-poton-gia-periptera","Άδεια πώλησης τυποποιημένων τροφίμων και ποτών για περίπτερα")</f>
        <v>Άδεια πώλησης τυποποιημένων τροφίμων και ποτών για περίπτερα</v>
      </c>
      <c r="E446" t="s">
        <v>31</v>
      </c>
    </row>
    <row r="447" spans="1:5" x14ac:dyDescent="0.25">
      <c r="A447">
        <v>15196</v>
      </c>
      <c r="B447" t="s">
        <v>5</v>
      </c>
      <c r="C447" t="s">
        <v>23</v>
      </c>
      <c r="D447" t="str">
        <f>HYPERLINK("Https://www.gov.gr/ipiresies/epikheirematike-drasterioteta/adeiodoteseis-kai-summorphose/adeia-kheiriste-takhuploou-skaphous","Άδεια χειριστή ταχυπλόου σκάφους")</f>
        <v>Άδεια χειριστή ταχυπλόου σκάφους</v>
      </c>
      <c r="E447" t="s">
        <v>37</v>
      </c>
    </row>
    <row r="448" spans="1:5" x14ac:dyDescent="0.25">
      <c r="A448">
        <v>16488</v>
      </c>
      <c r="B448" t="s">
        <v>5</v>
      </c>
      <c r="C448" t="s">
        <v>23</v>
      </c>
      <c r="D448" t="str">
        <f>HYPERLINK("Https://www.gov.gr/ipiresies/epikheirematike-drasterioteta/adeiodoteseis-kai-summorphose/adeia-kheiriste-takhuploou-skaphous-khoris-exetaseis","Άδεια χειριστή ταχυπλόου σκάφους χωρίς εξετάσεις")</f>
        <v>Άδεια χειριστή ταχυπλόου σκάφους χωρίς εξετάσεις</v>
      </c>
      <c r="E448" t="s">
        <v>37</v>
      </c>
    </row>
    <row r="449" spans="1:5" x14ac:dyDescent="0.25">
      <c r="A449">
        <v>16467</v>
      </c>
      <c r="B449" t="s">
        <v>5</v>
      </c>
      <c r="C449" t="s">
        <v>23</v>
      </c>
      <c r="D449" t="str">
        <f>HYPERLINK("Https://www.gov.gr/ipiresies/epikheirematike-drasterioteta/adeiodoteseis-kai-summorphose/adeiodotese-elegkhos-leitourgias-metapoietikon-drasterioteton","Αδειοδότηση / έλεγχος λειτουργίας μεταποιητικών δραστηριοτήτων")</f>
        <v>Αδειοδότηση / έλεγχος λειτουργίας μεταποιητικών δραστηριοτήτων</v>
      </c>
      <c r="E449" t="s">
        <v>41</v>
      </c>
    </row>
    <row r="450" spans="1:5" x14ac:dyDescent="0.25">
      <c r="A450">
        <v>16448</v>
      </c>
      <c r="B450" t="s">
        <v>5</v>
      </c>
      <c r="C450" t="s">
        <v>23</v>
      </c>
      <c r="D450" t="str">
        <f>HYPERLINK("Https://www.gov.gr/ipiresies/epikheirematike-drasterioteta/adeiodoteseis-kai-summorphose/aitema-phorea-sten-apdpkh","Αίτημα φορέα στην Αρχή Προστασίας Δεδομένων")</f>
        <v>Αίτημα φορέα στην Αρχή Προστασίας Δεδομένων</v>
      </c>
      <c r="E450" t="s">
        <v>45</v>
      </c>
    </row>
    <row r="451" spans="1:5" x14ac:dyDescent="0.25">
      <c r="A451">
        <v>16157</v>
      </c>
      <c r="B451" t="s">
        <v>5</v>
      </c>
      <c r="C451" t="s">
        <v>23</v>
      </c>
      <c r="D451" t="str">
        <f>HYPERLINK("Https://www.gov.gr/ipiresies/epikheirematike-drasterioteta/adeiodoteseis-kai-summorphose/aiteseis-gia-themata-ugeionomikon-elegkhon-kai-periballontikes-ugieines-ton-periphereiakon-enoteton","Αιτήσεις για θέματα υγειονομικών ελέγχων και περιβαλλοντικής υγιεινής των περιφερειακών ενοτήτων")</f>
        <v>Αιτήσεις για θέματα υγειονομικών ελέγχων και περιβαλλοντικής υγιεινής των περιφερειακών ενοτήτων</v>
      </c>
      <c r="E451" t="s">
        <v>41</v>
      </c>
    </row>
    <row r="452" spans="1:5" x14ac:dyDescent="0.25">
      <c r="A452">
        <v>15735</v>
      </c>
      <c r="B452" t="s">
        <v>5</v>
      </c>
      <c r="C452" t="s">
        <v>23</v>
      </c>
      <c r="D452" t="str">
        <f>HYPERLINK("Https://www.gov.gr/ipiresies/epikheirematike-drasterioteta/adeiodoteseis-kai-summorphose/aitese-apostaxes-oinou","Αίτηση απόσταξης οίνου")</f>
        <v>Αίτηση απόσταξης οίνου</v>
      </c>
      <c r="E452" t="s">
        <v>22</v>
      </c>
    </row>
    <row r="453" spans="1:5" x14ac:dyDescent="0.25">
      <c r="A453">
        <v>16689</v>
      </c>
      <c r="B453" t="s">
        <v>5</v>
      </c>
      <c r="C453" t="s">
        <v>23</v>
      </c>
      <c r="D453" t="str">
        <f>HYPERLINK("Https://www.gov.gr/ipiresies/epikheirematike-drasterioteta/adeiodoteseis-kai-summorphose/aitese-gia-bebaiose-eidikotetas-odegou-butiophorou-metaphoras-ugron-kausimon","Αίτηση για βεβαίωση ειδικότητας οδηγού βυτιοφόρου μεταφοράς υγρών καυσίμων")</f>
        <v>Αίτηση για βεβαίωση ειδικότητας οδηγού βυτιοφόρου μεταφοράς υγρών καυσίμων</v>
      </c>
      <c r="E453" t="s">
        <v>51</v>
      </c>
    </row>
    <row r="454" spans="1:5" x14ac:dyDescent="0.25">
      <c r="A454">
        <v>16675</v>
      </c>
      <c r="B454" t="s">
        <v>5</v>
      </c>
      <c r="C454" t="s">
        <v>23</v>
      </c>
      <c r="D454" t="str">
        <f>HYPERLINK("Https://www.gov.gr/ipiresies/epikheirematike-drasterioteta/adeiodoteseis-kai-summorphose/aitese-gia-themata-periballontos-kai-klimatikes-allages","Αίτηση για θέματα περιβάλλοντος και κλιματικής αλλαγής")</f>
        <v>Αίτηση για θέματα περιβάλλοντος και κλιματικής αλλαγής</v>
      </c>
      <c r="E454" t="s">
        <v>31</v>
      </c>
    </row>
    <row r="455" spans="1:5" x14ac:dyDescent="0.25">
      <c r="A455">
        <v>15734</v>
      </c>
      <c r="B455" t="s">
        <v>5</v>
      </c>
      <c r="C455" t="s">
        <v>23</v>
      </c>
      <c r="D455" t="str">
        <f>HYPERLINK("Https://www.gov.gr/ipiresies/epikheirematike-drasterioteta/adeiodoteseis-kai-summorphose/aitese-elegkte-domeses-diakheirise-porismaton-elegkhou","Αίτηση ελεγκτή δόμησης / διαχείριση πορισμάτων ελέγχου")</f>
        <v>Αίτηση ελεγκτή δόμησης / διαχείριση πορισμάτων ελέγχου</v>
      </c>
      <c r="E455" t="s">
        <v>57</v>
      </c>
    </row>
    <row r="456" spans="1:5" x14ac:dyDescent="0.25">
      <c r="A456">
        <v>16695</v>
      </c>
      <c r="B456" t="s">
        <v>5</v>
      </c>
      <c r="C456" t="s">
        <v>23</v>
      </c>
      <c r="D456" t="str">
        <f>HYPERLINK("Https://www.gov.gr/ipiresies/epikheirematike-drasterioteta/adeiodoteseis-kai-summorphose/aitese-therapeias","Αίτηση θεραπείας (Επιθεώρηση Εργασίας)")</f>
        <v>Αίτηση θεραπείας (Επιθεώρηση Εργασίας)</v>
      </c>
      <c r="E456" t="s">
        <v>51</v>
      </c>
    </row>
    <row r="457" spans="1:5" x14ac:dyDescent="0.25">
      <c r="A457">
        <v>16447</v>
      </c>
      <c r="B457" t="s">
        <v>5</v>
      </c>
      <c r="C457" t="s">
        <v>23</v>
      </c>
      <c r="D457" t="str">
        <f>HYPERLINK("Https://www.gov.gr/ipiresies/epikheirematike-drasterioteta/adeiodoteseis-kai-summorphose/aitese-proegoumenes-diabouleuses-me-ten-apdpkh","Αίτηση προηγούμενης διαβούλευσης με την Αρχή Προστασίας Δεδομένων")</f>
        <v>Αίτηση προηγούμενης διαβούλευσης με την Αρχή Προστασίας Δεδομένων</v>
      </c>
      <c r="E457" t="s">
        <v>45</v>
      </c>
    </row>
    <row r="458" spans="1:5" x14ac:dyDescent="0.25">
      <c r="A458">
        <v>15658</v>
      </c>
      <c r="B458" t="s">
        <v>5</v>
      </c>
      <c r="C458" t="s">
        <v>23</v>
      </c>
      <c r="D458" t="str">
        <f>HYPERLINK("Https://www.gov.gr/ipiresies/epikheirematike-drasterioteta/adeiodoteseis-kai-summorphose/amoibes-mekhanikon","Αμοιβές μηχανικών")</f>
        <v>Αμοιβές μηχανικών</v>
      </c>
      <c r="E458" t="s">
        <v>57</v>
      </c>
    </row>
    <row r="459" spans="1:5" x14ac:dyDescent="0.25">
      <c r="A459">
        <v>16039</v>
      </c>
      <c r="B459" t="s">
        <v>5</v>
      </c>
      <c r="C459" t="s">
        <v>23</v>
      </c>
      <c r="D459" t="str">
        <f>HYPERLINK("Https://www.gov.gr/ipiresies/epikheirematike-drasterioteta/adeiodoteseis-kai-summorphose/anaggelia-enarxes-leitourgias-egkatastaseon-exupereteses-okhematon-stegasmenou-e-upaithriou-stathmou-autokineton-e-plunteriou-lipanteriou-me-neo-dikaioukho","Αναγγελία έναρξης λειτουργίας εγκαταστάσεων εξυπηρέτησης οχημάτων (στεγασμένου ή υπαίθριου σταθμού αυτοκινήτων ή πλυντηρίου – λιπαντηρίου) με νέο δικαιούχο")</f>
        <v>Αναγγελία έναρξης λειτουργίας εγκαταστάσεων εξυπηρέτησης οχημάτων (στεγασμένου ή υπαίθριου σταθμού αυτοκινήτων ή πλυντηρίου – λιπαντηρίου) με νέο δικαιούχο</v>
      </c>
      <c r="E459" t="s">
        <v>31</v>
      </c>
    </row>
    <row r="460" spans="1:5" x14ac:dyDescent="0.25">
      <c r="A460">
        <v>16026</v>
      </c>
      <c r="B460" t="s">
        <v>5</v>
      </c>
      <c r="C460" t="s">
        <v>23</v>
      </c>
      <c r="D460" t="str">
        <f>HYPERLINK("Https://www.gov.gr/ipiresies/epikheirematike-drasterioteta/adeiodoteseis-kai-summorphose/anaggelia-enarxes-leitourgias-egkatastaseon-exupereteses-okhematon-stegasmenou-stathmou-autokineton-e-plunteriou-lipanteriou","Αναγγελία έναρξης λειτουργίας εγκαταστάσεων εξυπηρέτησης οχημάτων (στεγασμένου σταθμού αυτοκινήτων ή πλυντηρίου – λιπαντηρίου)")</f>
        <v>Αναγγελία έναρξης λειτουργίας εγκαταστάσεων εξυπηρέτησης οχημάτων (στεγασμένου σταθμού αυτοκινήτων ή πλυντηρίου – λιπαντηρίου)</v>
      </c>
      <c r="E460" t="s">
        <v>31</v>
      </c>
    </row>
    <row r="461" spans="1:5" x14ac:dyDescent="0.25">
      <c r="A461">
        <v>16126</v>
      </c>
      <c r="B461" t="s">
        <v>5</v>
      </c>
      <c r="C461" t="s">
        <v>23</v>
      </c>
      <c r="D461" t="str">
        <f>HYPERLINK("Https://www.gov.gr/ipiresies/epikheirematike-drasterioteta/adeiodoteseis-kai-summorphose/anaggelia-enarxes-leitourgias-iatreiou-klinikes-zoon","Αναγγελία έναρξης λειτουργίας ιατρείου / κλινικής ζώων")</f>
        <v>Αναγγελία έναρξης λειτουργίας ιατρείου / κλινικής ζώων</v>
      </c>
      <c r="E461" t="s">
        <v>31</v>
      </c>
    </row>
    <row r="462" spans="1:5" x14ac:dyDescent="0.25">
      <c r="A462">
        <v>16068</v>
      </c>
      <c r="B462" t="s">
        <v>5</v>
      </c>
      <c r="C462" t="s">
        <v>23</v>
      </c>
      <c r="D462" t="str">
        <f>HYPERLINK("Https://www.gov.gr/ipiresies/epikheirematike-drasterioteta/adeiodoteseis-kai-summorphose/anaggelia-enarxes-leitourgias-idiotikou-prateriou-ugron-kausimon-me-neo-dikaioukho","Αναγγελία έναρξης λειτουργίας ιδιωτικού πρατηρίου υγρών καυσίμων με νέο δικαιούχο")</f>
        <v>Αναγγελία έναρξης λειτουργίας ιδιωτικού πρατηρίου υγρών καυσίμων με νέο δικαιούχο</v>
      </c>
      <c r="E462" t="s">
        <v>31</v>
      </c>
    </row>
    <row r="463" spans="1:5" x14ac:dyDescent="0.25">
      <c r="A463">
        <v>15974</v>
      </c>
      <c r="B463" t="s">
        <v>5</v>
      </c>
      <c r="C463" t="s">
        <v>23</v>
      </c>
      <c r="D463" t="str">
        <f>HYPERLINK("Https://www.gov.gr/ipiresies/epikheirematike-drasterioteta/adeiodoteseis-kai-summorphose/anaggelia-enarxes-leitourgias-sunergeiou-episkeues-kai-suntereses-autokineton-motosikleton-motopodelaton-logo-allages-dikaioukhou","Αναγγελία έναρξης λειτουργίας συνεργείου επισκευής και συντήρησης αυτοκινήτων / μοτοσικλετών / μοτοποδηλάτων, λόγω αλλαγής δικαιούχου")</f>
        <v>Αναγγελία έναρξης λειτουργίας συνεργείου επισκευής και συντήρησης αυτοκινήτων / μοτοσικλετών / μοτοποδηλάτων, λόγω αλλαγής δικαιούχου</v>
      </c>
      <c r="E463" t="s">
        <v>31</v>
      </c>
    </row>
    <row r="464" spans="1:5" x14ac:dyDescent="0.25">
      <c r="A464">
        <v>15987</v>
      </c>
      <c r="B464" t="s">
        <v>5</v>
      </c>
      <c r="C464" t="s">
        <v>23</v>
      </c>
      <c r="D464" t="str">
        <f>HYPERLINK("Https://www.gov.gr/ipiresies/epikheirematike-drasterioteta/adeiodoteseis-kai-summorphose/anaggelia-enarxes-leitourgias-skholes-pistopoieses-epaggelmatikes-ikanotetas-odegon-pei","Αναγγελία έναρξης λειτουργίας σχολής Πιστοποίησης Επαγγελματικής Ικανότητας οδηγών (ΠΕΙ)")</f>
        <v>Αναγγελία έναρξης λειτουργίας σχολής Πιστοποίησης Επαγγελματικής Ικανότητας οδηγών (ΠΕΙ)</v>
      </c>
      <c r="E464" t="s">
        <v>31</v>
      </c>
    </row>
    <row r="465" spans="1:5" x14ac:dyDescent="0.25">
      <c r="A465">
        <v>15993</v>
      </c>
      <c r="B465" t="s">
        <v>5</v>
      </c>
      <c r="C465" t="s">
        <v>23</v>
      </c>
      <c r="D465" t="str">
        <f>HYPERLINK("Https://www.gov.gr/ipiresies/epikheirematike-drasterioteta/adeiodoteseis-kai-summorphose/anaggelia-idruses-enarxes-leitourgias-skholes-epaggelmatikes-katartises-metaphoreon-sekam","Αναγγελία ίδρυσης / έναρξης λειτουργίας Σχολής Επαγγελματικής Κατάρτισης Μεταφορέων (ΣΕΚΑΜ)")</f>
        <v>Αναγγελία ίδρυσης / έναρξης λειτουργίας Σχολής Επαγγελματικής Κατάρτισης Μεταφορέων (ΣΕΚΑΜ)</v>
      </c>
      <c r="E465" t="s">
        <v>31</v>
      </c>
    </row>
    <row r="466" spans="1:5" x14ac:dyDescent="0.25">
      <c r="A466">
        <v>15994</v>
      </c>
      <c r="B466" t="s">
        <v>5</v>
      </c>
      <c r="C466" t="s">
        <v>23</v>
      </c>
      <c r="D466" t="str">
        <f>HYPERLINK("Https://www.gov.gr/ipiresies/epikheirematike-drasterioteta/adeiodoteseis-kai-summorphose/anaggelia-idruses-enarxes-leitourgias-skholes-epaggelmatikes-katartises-odegon-okhematon-metaphoras-epikindunon-emporeumaton-sekoomee","Αναγγελία ίδρυσης / έναρξης λειτουργίας Σχολής Επαγγελματικής Κατάρτισης Οδηγών Οχημάτων Μεταφοράς Επικίνδυνων Εμπορευμάτων (ΣΕΚΟΟΜΕΕ)")</f>
        <v>Αναγγελία ίδρυσης / έναρξης λειτουργίας Σχολής Επαγγελματικής Κατάρτισης Οδηγών Οχημάτων Μεταφοράς Επικίνδυνων Εμπορευμάτων (ΣΕΚΟΟΜΕΕ)</v>
      </c>
      <c r="E466" t="s">
        <v>31</v>
      </c>
    </row>
    <row r="467" spans="1:5" x14ac:dyDescent="0.25">
      <c r="A467">
        <v>15992</v>
      </c>
      <c r="B467" t="s">
        <v>5</v>
      </c>
      <c r="C467" t="s">
        <v>23</v>
      </c>
      <c r="D467" t="str">
        <f>HYPERLINK("Https://www.gov.gr/ipiresies/epikheirematike-drasterioteta/adeiodoteseis-kai-summorphose/anaggelia-idruses-enarxes-leitourgias-skholes-e-parartematos-upopsephion-odegon-autokineton-kai-motosikleton","Αναγγελία ίδρυσης / έναρξης λειτουργίας σχολής ή παραρτήματος υποψήφιων οδηγών αυτοκινήτων και μοτοσικλετών")</f>
        <v>Αναγγελία ίδρυσης / έναρξης λειτουργίας σχολής ή παραρτήματος υποψήφιων οδηγών αυτοκινήτων και μοτοσικλετών</v>
      </c>
      <c r="E467" t="s">
        <v>31</v>
      </c>
    </row>
    <row r="468" spans="1:5" x14ac:dyDescent="0.25">
      <c r="A468">
        <v>15989</v>
      </c>
      <c r="B468" t="s">
        <v>5</v>
      </c>
      <c r="C468" t="s">
        <v>23</v>
      </c>
      <c r="D468" t="str">
        <f>HYPERLINK("Https://www.gov.gr/ipiresies/epikheirematike-drasterioteta/adeiodoteseis-kai-summorphose/anaggelia-idruses-kai-enarxes-leitourgias-kentrou-theoretikes-ekpaideuses-upopsephion-odegon-ketheuo","Αναγγελία ίδρυσης και έναρξης λειτουργίας Κέντρου Θεωρητικής Εκπαίδευσης Υποψήφιων Οδηγών (ΚΕΘΕΥΟ)")</f>
        <v>Αναγγελία ίδρυσης και έναρξης λειτουργίας Κέντρου Θεωρητικής Εκπαίδευσης Υποψήφιων Οδηγών (ΚΕΘΕΥΟ)</v>
      </c>
      <c r="E468" t="s">
        <v>31</v>
      </c>
    </row>
    <row r="469" spans="1:5" x14ac:dyDescent="0.25">
      <c r="A469">
        <v>16323</v>
      </c>
      <c r="B469" t="s">
        <v>5</v>
      </c>
      <c r="C469" t="s">
        <v>23</v>
      </c>
      <c r="D469" t="str">
        <f>HYPERLINK("Https://www.gov.gr/ipiresies/epikheirematike-drasterioteta/adeiodoteseis-kai-summorphose/ananeose-epektase-leitourgias-gumnasteriou-e-athletikes-skholes","Ανανέωση /επέκταση λειτουργίας γυμναστηρίου ή αθλητικής σχολής")</f>
        <v>Ανανέωση /επέκταση λειτουργίας γυμναστηρίου ή αθλητικής σχολής</v>
      </c>
      <c r="E469" t="s">
        <v>31</v>
      </c>
    </row>
    <row r="470" spans="1:5" x14ac:dyDescent="0.25">
      <c r="A470">
        <v>16490</v>
      </c>
      <c r="B470" t="s">
        <v>5</v>
      </c>
      <c r="C470" t="s">
        <v>23</v>
      </c>
      <c r="D470" t="str">
        <f>HYPERLINK("Https://www.gov.gr/ipiresies/epikheirematike-drasterioteta/adeiodoteseis-kai-summorphose/ananeose-adeias-nauagososte","Ανανέωση άδειας ναυαγοσώστη")</f>
        <v>Ανανέωση άδειας ναυαγοσώστη</v>
      </c>
      <c r="E470" t="s">
        <v>37</v>
      </c>
    </row>
    <row r="471" spans="1:5" x14ac:dyDescent="0.25">
      <c r="A471">
        <v>16492</v>
      </c>
      <c r="B471" t="s">
        <v>5</v>
      </c>
      <c r="C471" t="s">
        <v>23</v>
      </c>
      <c r="D471" t="str">
        <f>HYPERLINK("Https://www.gov.gr/ipiresies/epikheirematike-drasterioteta/adeiodoteseis-kai-summorphose/ananeose-adeias-kheiriste-takhuploou-skaphous","Ανανέωση άδειας χειριστή ταχυπλόου σκάφους")</f>
        <v>Ανανέωση άδειας χειριστή ταχυπλόου σκάφους</v>
      </c>
      <c r="E471" t="s">
        <v>37</v>
      </c>
    </row>
    <row r="472" spans="1:5" x14ac:dyDescent="0.25">
      <c r="A472">
        <v>16676</v>
      </c>
      <c r="B472" t="s">
        <v>5</v>
      </c>
      <c r="C472" t="s">
        <v>23</v>
      </c>
      <c r="D472" t="str">
        <f>HYPERLINK("Https://www.gov.gr/ipiresies/epikheirematike-drasterioteta/adeiodoteseis-kai-summorphose/ananeose-apophase-egkrises-periballontikon-oron-aepo-ergon-drasterioteton-kategorias-b","Ανανέωση απόφαση έγκρισης περιβαλλοντικών όρων (ΑΕΠΟ) έργων / δραστηριοτήτων κατηγορίας B")</f>
        <v>Ανανέωση απόφαση έγκρισης περιβαλλοντικών όρων (ΑΕΠΟ) έργων / δραστηριοτήτων κατηγορίας B</v>
      </c>
      <c r="E472" t="s">
        <v>31</v>
      </c>
    </row>
    <row r="473" spans="1:5" x14ac:dyDescent="0.25">
      <c r="A473">
        <v>15977</v>
      </c>
      <c r="B473" t="s">
        <v>5</v>
      </c>
      <c r="C473" t="s">
        <v>23</v>
      </c>
      <c r="D473" t="str">
        <f>HYPERLINK("Https://www.gov.gr/ipiresies/epikheirematike-drasterioteta/adeiodoteseis-kai-summorphose/ananeose-exousiodoteses-sunergeiou-gia-topothetese-sustematos-periorismou-takhutetas","Ανανέωση εξουσιοδότησης συνεργείου για τοποθέτηση συστήματος περιορισμού ταχύτητας")</f>
        <v>Ανανέωση εξουσιοδότησης συνεργείου για τοποθέτηση συστήματος περιορισμού ταχύτητας</v>
      </c>
      <c r="E473" t="s">
        <v>31</v>
      </c>
    </row>
    <row r="474" spans="1:5" x14ac:dyDescent="0.25">
      <c r="A474">
        <v>15836</v>
      </c>
      <c r="B474" t="s">
        <v>5</v>
      </c>
      <c r="C474" t="s">
        <v>23</v>
      </c>
      <c r="D474" t="str">
        <f>HYPERLINK("Https://www.gov.gr/ipiresies/epikheirematike-drasterioteta/adeiodoteseis-kai-summorphose/ananeose-katokhuroses-emporikou-sematos","Ανανέωση κατοχύρωσης εμπορικού σήματος")</f>
        <v>Ανανέωση κατοχύρωσης εμπορικού σήματος</v>
      </c>
      <c r="E474" t="s">
        <v>107</v>
      </c>
    </row>
    <row r="475" spans="1:5" x14ac:dyDescent="0.25">
      <c r="A475">
        <v>16036</v>
      </c>
      <c r="B475" t="s">
        <v>5</v>
      </c>
      <c r="C475" t="s">
        <v>23</v>
      </c>
      <c r="D475" t="str">
        <f>HYPERLINK("Https://www.gov.gr/ipiresies/epikheirematike-drasterioteta/adeiodoteseis-kai-summorphose/ananeose-tes-anaggelias-enarxes-leitourgias-upaithriou-stathmou-autokineton","Ανανέωση της αναγγελίας έναρξης λειτουργίας υπαίθριου σταθμού αυτοκινήτων")</f>
        <v>Ανανέωση της αναγγελίας έναρξης λειτουργίας υπαίθριου σταθμού αυτοκινήτων</v>
      </c>
      <c r="E475" t="s">
        <v>31</v>
      </c>
    </row>
    <row r="476" spans="1:5" x14ac:dyDescent="0.25">
      <c r="A476">
        <v>16677</v>
      </c>
      <c r="B476" t="s">
        <v>5</v>
      </c>
      <c r="C476" t="s">
        <v>23</v>
      </c>
      <c r="D476" t="str">
        <f>HYPERLINK("Https://www.gov.gr/ipiresies/epikheirematike-drasterioteta/adeiodoteseis-kai-summorphose/anaphora-kataggelia-gia-themata-periballontos-kai-klimatikes-allages","Αναφορά / καταγγελία για θέματα περιβάλλοντος και κλιματικής αλλαγής")</f>
        <v>Αναφορά / καταγγελία για θέματα περιβάλλοντος και κλιματικής αλλαγής</v>
      </c>
      <c r="E476" t="s">
        <v>31</v>
      </c>
    </row>
    <row r="477" spans="1:5" x14ac:dyDescent="0.25">
      <c r="A477">
        <v>16159</v>
      </c>
      <c r="B477" t="s">
        <v>5</v>
      </c>
      <c r="C477" t="s">
        <v>23</v>
      </c>
      <c r="D477" t="str">
        <f>HYPERLINK("Https://www.gov.gr/ipiresies/epikheirematike-drasterioteta/adeiodoteseis-kai-summorphose/anaphora-kataggelia-gia-themata-ugeionomikon-elegkhon-kai-periballontikes-ugieines-ton-periphereiakon-enoteton","Αναφορά / καταγγελία για θέματα υγειονομικών ελέγχων και περιβαλλοντικής υγιεινής των περιφερειακών ενοτήτων")</f>
        <v>Αναφορά / καταγγελία για θέματα υγειονομικών ελέγχων και περιβαλλοντικής υγιεινής των περιφερειακών ενοτήτων</v>
      </c>
      <c r="E477" t="s">
        <v>31</v>
      </c>
    </row>
    <row r="478" spans="1:5" x14ac:dyDescent="0.25">
      <c r="A478">
        <v>16158</v>
      </c>
      <c r="B478" t="s">
        <v>5</v>
      </c>
      <c r="C478" t="s">
        <v>23</v>
      </c>
      <c r="D478" t="str">
        <f>HYPERLINK("Https://www.gov.gr/ipiresies/epikheirematike-drasterioteta/adeiodoteseis-kai-summorphose/antigrapha-eggraphon-apo-phakelo-upotheses-ugeionomikon-elegkhon-kai-periballontikes-ugieines-ton-periphereiakon-enoteton","Αντίγραφα εγγράφων από φάκελο υπόθεσης υγειονομικών ελέγχων και περιβαλλοντικής υγιεινής των περιφερειακών ενοτήτων")</f>
        <v>Αντίγραφα εγγράφων από φάκελο υπόθεσης υγειονομικών ελέγχων και περιβαλλοντικής υγιεινής των περιφερειακών ενοτήτων</v>
      </c>
      <c r="E478" t="s">
        <v>31</v>
      </c>
    </row>
    <row r="479" spans="1:5" x14ac:dyDescent="0.25">
      <c r="A479">
        <v>16495</v>
      </c>
      <c r="B479" t="s">
        <v>5</v>
      </c>
      <c r="C479" t="s">
        <v>23</v>
      </c>
      <c r="D479" t="str">
        <f>HYPERLINK("Https://www.gov.gr/ipiresies/epikheirematike-drasterioteta/adeiodoteseis-kai-summorphose/antigrapho-adeias-kheiriste-takhuploou-skaphous","Αντίγραφο άδειας χειριστή ταχυπλόου σκάφους")</f>
        <v>Αντίγραφο άδειας χειριστή ταχυπλόου σκάφους</v>
      </c>
      <c r="E479" t="s">
        <v>37</v>
      </c>
    </row>
    <row r="480" spans="1:5" x14ac:dyDescent="0.25">
      <c r="A480">
        <v>16493</v>
      </c>
      <c r="B480" t="s">
        <v>5</v>
      </c>
      <c r="C480" t="s">
        <v>23</v>
      </c>
      <c r="D480" t="str">
        <f>HYPERLINK("Https://www.gov.gr/ipiresies/epikheirematike-drasterioteta/adeiodoteseis-kai-summorphose/antikatastase-adeias-kheiriste-takhuploou-skaphous-palaiou-tupou","Αντικατάσταση άδειας χειριστή ταχυπλόου σκάφους (παλαιού τύπου)")</f>
        <v>Αντικατάσταση άδειας χειριστή ταχυπλόου σκάφους (παλαιού τύπου)</v>
      </c>
      <c r="E480" t="s">
        <v>37</v>
      </c>
    </row>
    <row r="481" spans="1:5" x14ac:dyDescent="0.25">
      <c r="A481">
        <v>16710</v>
      </c>
      <c r="B481" t="s">
        <v>5</v>
      </c>
      <c r="C481" t="s">
        <v>23</v>
      </c>
      <c r="D481" t="str">
        <f>HYPERLINK("Https://www.gov.gr/ipiresies/epikheirematike-drasterioteta/adeiodoteseis-kai-summorphose/apodokhe-prostimou-kai-paraitese-apo-ten-askese-endikon-boethematon","Αποδοχή προστίμου και παραίτηση από την άσκηση ενδίκων βοηθημάτων")</f>
        <v>Αποδοχή προστίμου και παραίτηση από την άσκηση ενδίκων βοηθημάτων</v>
      </c>
      <c r="E481" t="s">
        <v>51</v>
      </c>
    </row>
    <row r="482" spans="1:5" x14ac:dyDescent="0.25">
      <c r="A482">
        <v>16481</v>
      </c>
      <c r="B482" t="s">
        <v>5</v>
      </c>
      <c r="C482" t="s">
        <v>23</v>
      </c>
      <c r="D482" t="str">
        <f>HYPERLINK("Https://www.gov.gr/ipiresies/epikheirematike-drasterioteta/adeiodoteseis-kai-summorphose/apostaxe-oinou-se-periptose-krises-2021","Απόσταξη οίνου σε περίπτωση κρίσης (2021)")</f>
        <v>Απόσταξη οίνου σε περίπτωση κρίσης (2021)</v>
      </c>
      <c r="E482" t="s">
        <v>22</v>
      </c>
    </row>
    <row r="483" spans="1:5" x14ac:dyDescent="0.25">
      <c r="A483">
        <v>15837</v>
      </c>
      <c r="B483" t="s">
        <v>5</v>
      </c>
      <c r="C483" t="s">
        <v>23</v>
      </c>
      <c r="D483" t="str">
        <f>HYPERLINK("Https://www.gov.gr/ipiresies/epikheirematike-drasterioteta/adeiodoteseis-kai-summorphose/apophaseis-katokhuroses-emporikon-sematon","Αποφάσεις κατοχύρωσης εμπορικών σημάτων")</f>
        <v>Αποφάσεις κατοχύρωσης εμπορικών σημάτων</v>
      </c>
      <c r="E483" t="s">
        <v>107</v>
      </c>
    </row>
    <row r="484" spans="1:5" x14ac:dyDescent="0.25">
      <c r="A484">
        <v>16678</v>
      </c>
      <c r="B484" t="s">
        <v>5</v>
      </c>
      <c r="C484" t="s">
        <v>23</v>
      </c>
      <c r="D484" t="str">
        <f>HYPERLINK("Https://www.gov.gr/ipiresies/epikheirematike-drasterioteta/adeiodoteseis-kai-summorphose/apophase-egkrises-periballontikon-oron-aepo-ergon-drasterioteton-kategorias-b","Απόφαση έγκρισης περιβαλλοντικών όρων (ΑΕΠΟ) έργων / δραστηριοτήτων κατηγορίας B")</f>
        <v>Απόφαση έγκρισης περιβαλλοντικών όρων (ΑΕΠΟ) έργων / δραστηριοτήτων κατηγορίας B</v>
      </c>
      <c r="E484" t="s">
        <v>31</v>
      </c>
    </row>
    <row r="485" spans="1:5" x14ac:dyDescent="0.25">
      <c r="A485">
        <v>16432</v>
      </c>
      <c r="B485" t="s">
        <v>5</v>
      </c>
      <c r="C485" t="s">
        <v>23</v>
      </c>
      <c r="D485" t="str">
        <f>HYPERLINK("Https://www.gov.gr/ipiresies/epikheirematike-drasterioteta/adeiodoteseis-kai-summorphose/bebaiose-enarxes-leitourgias-anoteres-idiotikes-skholes-dramatikes-tekhnes-e-anoteres-idiotikes-skholes-texnis-khorou-npdd","Βεβαίωση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(ΝΠΔΔ)")</f>
        <v>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(ΝΠΔΔ)</v>
      </c>
      <c r="E485" t="s">
        <v>31</v>
      </c>
    </row>
    <row r="486" spans="1:5" x14ac:dyDescent="0.25">
      <c r="A486">
        <v>16431</v>
      </c>
      <c r="B486" t="s">
        <v>5</v>
      </c>
      <c r="C486" t="s">
        <v>23</v>
      </c>
      <c r="D486" t="str">
        <f>HYPERLINK("Https://www.gov.gr/ipiresies/epikheirematike-drasterioteta/adeiodoteseis-kai-summorphose/bebaiose-enarxes-leitourgias-anoteres-idiotikes-skholes-dramatikes-tekhnes-e-anoteres-idiotikes-skholes-texnis-khorou-npid","Βεβαίωση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(ΝΠΙΔ)")</f>
        <v>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(ΝΠΙΔ)</v>
      </c>
      <c r="E486" t="s">
        <v>31</v>
      </c>
    </row>
    <row r="487" spans="1:5" x14ac:dyDescent="0.25">
      <c r="A487">
        <v>16430</v>
      </c>
      <c r="B487" t="s">
        <v>5</v>
      </c>
      <c r="C487" t="s">
        <v>23</v>
      </c>
      <c r="D487" t="str">
        <f>HYPERLINK("Https://www.gov.gr/ipiresies/epikheirematike-drasterioteta/adeiodoteseis-kai-summorphose/bebaiose-enarxes-leitourgias-anoteres-idiotikes-skholes-dramatikes-tekhnes-e-anoteres-idiotikes-skholes-texnis-khorou-fp","Βεβαίωση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(φυσικά πρόσωπα)")</f>
        <v>Βεβαίωση έναρξης λειτουργίας ανώτερης ιδιωτικής Σχολής Δραματικής Τέχνης ή ανώτερης ιδιωτικής Σχολής Χορού ή μεταβίβασης αδείας ή μετεγκατάστασης σχολής (φυσικά πρόσωπα)</v>
      </c>
      <c r="E487" t="s">
        <v>31</v>
      </c>
    </row>
    <row r="488" spans="1:5" x14ac:dyDescent="0.25">
      <c r="A488">
        <v>16318</v>
      </c>
      <c r="B488" t="s">
        <v>5</v>
      </c>
      <c r="C488" t="s">
        <v>23</v>
      </c>
      <c r="D488" t="str">
        <f>HYPERLINK("Https://www.gov.gr/ipiresies/epikheirematike-drasterioteta/adeiodoteseis-kai-summorphose/bebaiose-idruses-leitourgias-metabibases-metastegases-erasitekhnikes-skholes-khorou-npdd","Βεβαίωση ίδρυσης / λειτουργίας / μεταβίβασης / μεταστέγασης ερασιτεχνικής σχολής χορού (ΝΠΔΔ)")</f>
        <v>Βεβαίωση ίδρυσης / λειτουργίας / μεταβίβασης / μεταστέγασης ερασιτεχνικής σχολής χορού (ΝΠΔΔ)</v>
      </c>
      <c r="E488" t="s">
        <v>31</v>
      </c>
    </row>
    <row r="489" spans="1:5" x14ac:dyDescent="0.25">
      <c r="A489">
        <v>16320</v>
      </c>
      <c r="B489" t="s">
        <v>5</v>
      </c>
      <c r="C489" t="s">
        <v>23</v>
      </c>
      <c r="D489" t="str">
        <f>HYPERLINK("Https://www.gov.gr/ipiresies/epikheirematike-drasterioteta/adeiodoteseis-kai-summorphose/bebaiose-idruses-leitourgias-metabibases-metastegases-erasitekhnikes-skholes-khorou-npid","Βεβαίωση ίδρυσης / λειτουργίας / μεταβίβασης / μεταστέγασης ερασιτεχνικής σχολής χορού (ΝΠΙΔ)")</f>
        <v>Βεβαίωση ίδρυσης / λειτουργίας / μεταβίβασης / μεταστέγασης ερασιτεχνικής σχολής χορού (ΝΠΙΔ)</v>
      </c>
      <c r="E489" t="s">
        <v>31</v>
      </c>
    </row>
    <row r="490" spans="1:5" x14ac:dyDescent="0.25">
      <c r="A490">
        <v>16319</v>
      </c>
      <c r="B490" t="s">
        <v>5</v>
      </c>
      <c r="C490" t="s">
        <v>23</v>
      </c>
      <c r="D490" t="str">
        <f>HYPERLINK("Https://www.gov.gr/ipiresies/epikheirematike-drasterioteta/adeiodoteseis-kai-summorphose/bebaiose-idruses-leitourgias-metabibases-metastegases-erasitekhnikes-skholes-khorou-phusika-prosopa","Βεβαίωση ίδρυσης / λειτουργίας / μεταβίβασης / μεταστέγασης ερασιτεχνικής σχολής χορού (φυσικά πρόσωπα)")</f>
        <v>Βεβαίωση ίδρυσης / λειτουργίας / μεταβίβασης / μεταστέγασης ερασιτεχνικής σχολής χορού (φυσικά πρόσωπα)</v>
      </c>
      <c r="E490" t="s">
        <v>31</v>
      </c>
    </row>
    <row r="491" spans="1:5" x14ac:dyDescent="0.25">
      <c r="A491">
        <v>16505</v>
      </c>
      <c r="B491" t="s">
        <v>5</v>
      </c>
      <c r="C491" t="s">
        <v>23</v>
      </c>
      <c r="D491" t="str">
        <f>HYPERLINK("Https://www.gov.gr/ipiresies/epikheirematike-drasterioteta/adeiodoteseis-kai-summorphose/bebaiose-upoboles-upeuthunes-deloses-gia-te-drasteriopoiese-ploiou-os-thalassio-taxi","Βεβαίωση υποβολής υπεύθυνης δήλωσης για τη δραστηριοποίηση πλοίου ως θαλάσσιο ταξί")</f>
        <v>Βεβαίωση υποβολής υπεύθυνης δήλωσης για τη δραστηριοποίηση πλοίου ως θαλάσσιο ταξί</v>
      </c>
      <c r="E491" t="s">
        <v>37</v>
      </c>
    </row>
    <row r="492" spans="1:5" x14ac:dyDescent="0.25">
      <c r="A492">
        <v>16510</v>
      </c>
      <c r="B492" t="s">
        <v>5</v>
      </c>
      <c r="C492" t="s">
        <v>23</v>
      </c>
      <c r="D492" t="str">
        <f>HYPERLINK("Https://www.gov.gr/ipiresies/epikheirematike-drasterioteta/adeiodoteseis-kai-summorphose/bebaiose-upoboles-upeuthunes-deloses-ekmisthoses-mekhanokineton-lembon-kai-takhuploon-skaphon","Βεβαίωση υποβολής υπεύθυνης δήλωσης εκμίσθωσης μηχανοκίνητων λέμβων και ταχυπλόων σκαφών")</f>
        <v>Βεβαίωση υποβολής υπεύθυνης δήλωσης εκμίσθωσης μηχανοκίνητων λέμβων και ταχυπλόων σκαφών</v>
      </c>
      <c r="E492" t="s">
        <v>37</v>
      </c>
    </row>
    <row r="493" spans="1:5" x14ac:dyDescent="0.25">
      <c r="A493">
        <v>16513</v>
      </c>
      <c r="B493" t="s">
        <v>5</v>
      </c>
      <c r="C493" t="s">
        <v>23</v>
      </c>
      <c r="D493" t="str">
        <f>HYPERLINK("Https://www.gov.gr/ipiresies/epikheirematike-drasterioteta/adeiodoteseis-kai-summorphose/bebaiose-upoboles-upeuthunes-deloses-parokhea-katadutikon-uperesion-anapsukhes","Βεβαίωση υποβολής υπεύθυνης δήλωσης παροχέα καταδυτικών υπηρεσιών αναψυχής")</f>
        <v>Βεβαίωση υποβολής υπεύθυνης δήλωσης παροχέα καταδυτικών υπηρεσιών αναψυχής</v>
      </c>
      <c r="E493" t="s">
        <v>37</v>
      </c>
    </row>
    <row r="494" spans="1:5" x14ac:dyDescent="0.25">
      <c r="A494">
        <v>16705</v>
      </c>
      <c r="B494" t="s">
        <v>5</v>
      </c>
      <c r="C494" t="s">
        <v>23</v>
      </c>
      <c r="D494" t="str">
        <f>HYPERLINK("Https://www.gov.gr/ipiresies/epikheirematike-drasterioteta/adeiodoteseis-kai-summorphose/gnostopoiese-enarxes-oikodomikon-ergasion","Γνωστοποίηση έναρξης οικοδομικών εργασιών")</f>
        <v>Γνωστοποίηση έναρξης οικοδομικών εργασιών</v>
      </c>
      <c r="E494" t="s">
        <v>51</v>
      </c>
    </row>
    <row r="495" spans="1:5" x14ac:dyDescent="0.25">
      <c r="A495">
        <v>16325</v>
      </c>
      <c r="B495" t="s">
        <v>5</v>
      </c>
      <c r="C495" t="s">
        <v>23</v>
      </c>
      <c r="D495" t="str">
        <f>HYPERLINK("Https://www.gov.gr/ipiresies/epikheirematike-drasterioteta/adeiodoteseis-kai-summorphose/gnostopoiese-idruses-kai-leitourgias-gumnasteriou-e-athletikes-skholes","Γνωστοποίηση ίδρυσης και λειτουργίας γυμναστηρίου ή αθλητικής σχολής")</f>
        <v>Γνωστοποίηση ίδρυσης και λειτουργίας γυμναστηρίου ή αθλητικής σχολής</v>
      </c>
      <c r="E495" t="s">
        <v>31</v>
      </c>
    </row>
    <row r="496" spans="1:5" x14ac:dyDescent="0.25">
      <c r="A496">
        <v>16326</v>
      </c>
      <c r="B496" t="s">
        <v>5</v>
      </c>
      <c r="C496" t="s">
        <v>23</v>
      </c>
      <c r="D496" t="str">
        <f>HYPERLINK("Https://www.gov.gr/ipiresies/epikheirematike-drasterioteta/adeiodoteseis-kai-summorphose/gnostopoiese-metabibases-gumnasteriou-e-athletikes-skholes","Γνωστοποίηση μεταβίβασης γυμναστηρίου ή αθλητικής σχολής")</f>
        <v>Γνωστοποίηση μεταβίβασης γυμναστηρίου ή αθλητικής σχολής</v>
      </c>
      <c r="E496" t="s">
        <v>31</v>
      </c>
    </row>
    <row r="497" spans="1:5" x14ac:dyDescent="0.25">
      <c r="A497">
        <v>16446</v>
      </c>
      <c r="B497" t="s">
        <v>5</v>
      </c>
      <c r="C497" t="s">
        <v>23</v>
      </c>
      <c r="D497" t="str">
        <f>HYPERLINK("Https://www.gov.gr/ipiresies/epikheirematike-drasterioteta/adeiodoteseis-kai-summorphose/gnostopoiese-peristatikou-parabiases-dedomenon","Γνωστοποίηση περιστατικού παραβίασης δεδομένων")</f>
        <v>Γνωστοποίηση περιστατικού παραβίασης δεδομένων</v>
      </c>
      <c r="E497" t="s">
        <v>45</v>
      </c>
    </row>
    <row r="498" spans="1:5" x14ac:dyDescent="0.25">
      <c r="A498">
        <v>15573</v>
      </c>
      <c r="B498" t="s">
        <v>5</v>
      </c>
      <c r="C498" t="s">
        <v>23</v>
      </c>
      <c r="D498" t="str">
        <f>HYPERLINK("Https://www.gov.gr/ipiresies/epikheirematike-drasterioteta/adeiodoteseis-kai-summorphose/deltia-biomekhanikes-kineses","Δελτία βιομηχανικής κίνησης")</f>
        <v>Δελτία βιομηχανικής κίνησης</v>
      </c>
      <c r="E498" t="s">
        <v>74</v>
      </c>
    </row>
    <row r="499" spans="1:5" x14ac:dyDescent="0.25">
      <c r="A499">
        <v>16707</v>
      </c>
      <c r="B499" t="s">
        <v>5</v>
      </c>
      <c r="C499" t="s">
        <v>23</v>
      </c>
      <c r="D499" t="str">
        <f>HYPERLINK("Https://www.gov.gr/ipiresies/epikheirematike-drasterioteta/adeiodoteseis-kai-summorphose/deloses-summorphoses-gia-meiose-80-epi-tou-prostimou","Δήλωση συμμόρφωσης για μείωση 80% επί του προστίμου")</f>
        <v>Δήλωση συμμόρφωσης για μείωση 80% επί του προστίμου</v>
      </c>
      <c r="E499" t="s">
        <v>51</v>
      </c>
    </row>
    <row r="500" spans="1:5" x14ac:dyDescent="0.25">
      <c r="A500">
        <v>15294</v>
      </c>
      <c r="B500" t="s">
        <v>5</v>
      </c>
      <c r="C500" t="s">
        <v>23</v>
      </c>
      <c r="D500" t="str">
        <f>HYPERLINK("Https://www.gov.gr/ipiresies/epikheirematike-drasterioteta/adeiodoteseis-kai-summorphose/diakheirise-deloseon-authaireton-ktismaton","Διαχείριση δηλώσεων αυθαιρέτων κτισμάτων")</f>
        <v>Διαχείριση δηλώσεων αυθαιρέτων κτισμάτων</v>
      </c>
      <c r="E500" t="s">
        <v>57</v>
      </c>
    </row>
    <row r="501" spans="1:5" x14ac:dyDescent="0.25">
      <c r="A501">
        <v>15721</v>
      </c>
      <c r="B501" t="s">
        <v>5</v>
      </c>
      <c r="C501" t="s">
        <v>23</v>
      </c>
      <c r="D501" t="str">
        <f>HYPERLINK("Https://www.gov.gr/ipiresies/epikheirematike-drasterioteta/adeiodoteseis-kai-summorphose/diakheirise-kataggelion-katanaloton","Διαχείριση καταγγελιών καταναλωτών")</f>
        <v>Διαχείριση καταγγελιών καταναλωτών</v>
      </c>
      <c r="E501" t="s">
        <v>162</v>
      </c>
    </row>
    <row r="502" spans="1:5" x14ac:dyDescent="0.25">
      <c r="A502">
        <v>16503</v>
      </c>
      <c r="B502" t="s">
        <v>5</v>
      </c>
      <c r="C502" t="s">
        <v>23</v>
      </c>
      <c r="D502" t="str">
        <f>HYPERLINK("Https://www.gov.gr/ipiresies/epikheirematike-drasterioteta/adeiodoteseis-kai-summorphose/drasteriopoiese-dute","Δραστηριοποίηση δύτη")</f>
        <v>Δραστηριοποίηση δύτη</v>
      </c>
      <c r="E502" t="s">
        <v>37</v>
      </c>
    </row>
    <row r="503" spans="1:5" x14ac:dyDescent="0.25">
      <c r="A503">
        <v>16504</v>
      </c>
      <c r="B503" t="s">
        <v>5</v>
      </c>
      <c r="C503" t="s">
        <v>23</v>
      </c>
      <c r="D503" t="str">
        <f>HYPERLINK("Https://www.gov.gr/ipiresies/epikheirematike-drasterioteta/adeiodoteseis-kai-summorphose/drasteriopoiese-thalassiou-taxi","Δραστηριοποίηση θαλάσσιου ταξι")</f>
        <v>Δραστηριοποίηση θαλάσσιου ταξι</v>
      </c>
      <c r="E503" t="s">
        <v>37</v>
      </c>
    </row>
    <row r="504" spans="1:5" x14ac:dyDescent="0.25">
      <c r="A504">
        <v>16506</v>
      </c>
      <c r="B504" t="s">
        <v>5</v>
      </c>
      <c r="C504" t="s">
        <v>23</v>
      </c>
      <c r="D504" t="str">
        <f>HYPERLINK("Https://www.gov.gr/ipiresies/epikheirematike-drasterioteta/adeiodoteseis-kai-summorphose/drasteriopoiese-matheteuomenou-dute","Δραστηριοποίηση μαθητευόμενου δύτη")</f>
        <v>Δραστηριοποίηση μαθητευόμενου δύτη</v>
      </c>
      <c r="E504" t="s">
        <v>37</v>
      </c>
    </row>
    <row r="505" spans="1:5" x14ac:dyDescent="0.25">
      <c r="A505">
        <v>15828</v>
      </c>
      <c r="B505" t="s">
        <v>5</v>
      </c>
      <c r="C505" t="s">
        <v>23</v>
      </c>
      <c r="D505" t="str">
        <f>HYPERLINK("Https://www.gov.gr/ipiresies/epikheirematike-drasterioteta/adeiodoteseis-kai-summorphose/eggraphe-nomikon-prosopon-sto-metroo-epitheoreton-energeias","Εγγραφή νομικών προσώπων στο μητρώο επιθεωρητών ενέργειας")</f>
        <v>Εγγραφή νομικών προσώπων στο μητρώο επιθεωρητών ενέργειας</v>
      </c>
      <c r="E505" t="s">
        <v>17</v>
      </c>
    </row>
    <row r="506" spans="1:5" x14ac:dyDescent="0.25">
      <c r="A506">
        <v>16123</v>
      </c>
      <c r="B506" t="s">
        <v>5</v>
      </c>
      <c r="C506" t="s">
        <v>23</v>
      </c>
      <c r="D506" t="str">
        <f>HYPERLINK("Https://www.gov.gr/ipiresies/epikheirematike-drasterioteta/adeiodoteseis-kai-summorphose/eggraphe-sto-metroo-emporon-nopon-oporokepeutikon","Εγγραφή στο μητρώο εμπόρων νωπών οπωροκηπευτικών")</f>
        <v>Εγγραφή στο μητρώο εμπόρων νωπών οπωροκηπευτικών</v>
      </c>
      <c r="E506" t="s">
        <v>31</v>
      </c>
    </row>
    <row r="507" spans="1:5" x14ac:dyDescent="0.25">
      <c r="A507">
        <v>16466</v>
      </c>
      <c r="B507" t="s">
        <v>5</v>
      </c>
      <c r="C507" t="s">
        <v>23</v>
      </c>
      <c r="D507" t="str">
        <f>HYPERLINK("Https://www.gov.gr/ipiresies/epikheirematike-drasterioteta/adeiodoteseis-kai-summorphose/egkrise-drasteriopoieses-paragogou-emporou-polete-upaithriou-planodiou-emporiou","Έγκριση δραστηριοποίησης παραγωγού / εμπόρου πωλητή υπαίθριου πλανόδιου εμπορίου")</f>
        <v>Έγκριση δραστηριοποίησης παραγωγού / εμπόρου πωλητή υπαίθριου πλανόδιου εμπορίου</v>
      </c>
      <c r="E507" t="s">
        <v>41</v>
      </c>
    </row>
    <row r="508" spans="1:5" x14ac:dyDescent="0.25">
      <c r="A508">
        <v>16679</v>
      </c>
      <c r="B508" t="s">
        <v>5</v>
      </c>
      <c r="C508" t="s">
        <v>23</v>
      </c>
      <c r="D508" t="str">
        <f>HYPERLINK("Https://www.gov.gr/ipiresies/epikheirematike-drasterioteta/adeiodoteseis-kai-summorphose/egkrise-ergasion-aphaireses-amiantou-apo-ktiria-kataskeues-suskeues-kai-egkatastaseis","Έγκριση εργασιών αφαίρεσης αμιάντου από κτίρια, κατασκευές, συσκευές και εγκαταστάσεις")</f>
        <v>Έγκριση εργασιών αφαίρεσης αμιάντου από κτίρια, κατασκευές, συσκευές και εγκαταστάσεις</v>
      </c>
      <c r="E508" t="s">
        <v>31</v>
      </c>
    </row>
    <row r="509" spans="1:5" x14ac:dyDescent="0.25">
      <c r="A509">
        <v>15980</v>
      </c>
      <c r="B509" t="s">
        <v>5</v>
      </c>
      <c r="C509" t="s">
        <v>23</v>
      </c>
      <c r="D509" t="str">
        <f>HYPERLINK("Https://www.gov.gr/ipiresies/epikheirematike-drasterioteta/adeiodoteseis-kai-summorphose/egkrise-suntaxes-kai-ektuposes-e-antikatastases-enos-phutougeionomikou-diabateriou","Έγκριση σύνταξης και εκτύπωσης ή αντικατάστασης ενός φυτοϋγειονoμικού διαβατηρίου")</f>
        <v>Έγκριση σύνταξης και εκτύπωσης ή αντικατάστασης ενός φυτοϋγειονoμικού διαβατηρίου</v>
      </c>
      <c r="E509" t="s">
        <v>31</v>
      </c>
    </row>
    <row r="510" spans="1:5" x14ac:dyDescent="0.25">
      <c r="A510">
        <v>16680</v>
      </c>
      <c r="B510" t="s">
        <v>5</v>
      </c>
      <c r="C510" t="s">
        <v>23</v>
      </c>
      <c r="D510" t="str">
        <f>HYPERLINK("Https://www.gov.gr/ipiresies/epikheirematike-drasterioteta/adeiodoteseis-kai-summorphose/egkrise-tekhnikes-ektheses-khreses-kausimou-se-egkatastaseis","Έγκριση τεχνικής έκθεσης χρήσης καυσίμου σε εγκαταστάσεις")</f>
        <v>Έγκριση τεχνικής έκθεσης χρήσης καυσίμου σε εγκαταστάσεις</v>
      </c>
      <c r="E510" t="s">
        <v>31</v>
      </c>
    </row>
    <row r="511" spans="1:5" x14ac:dyDescent="0.25">
      <c r="A511">
        <v>16681</v>
      </c>
      <c r="B511" t="s">
        <v>5</v>
      </c>
      <c r="C511" t="s">
        <v>23</v>
      </c>
      <c r="D511" t="str">
        <f>HYPERLINK("Https://www.gov.gr/ipiresies/epikheirematike-drasterioteta/adeiodoteseis-kai-summorphose/egkrise-phakelou-eidikes-oikologikes-axiologeses-eoa-ergon-drasterioteton-kategorias-b","Έγκριση φακέλου Ειδικής Οικολογικής Αξιολόγησης (ΕΟΑ) έργων / δραστηριοτήτων κατηγορίας Β")</f>
        <v>Έγκριση φακέλου Ειδικής Οικολογικής Αξιολόγησης (ΕΟΑ) έργων / δραστηριοτήτων κατηγορίας Β</v>
      </c>
      <c r="E511" t="s">
        <v>31</v>
      </c>
    </row>
    <row r="512" spans="1:5" x14ac:dyDescent="0.25">
      <c r="A512">
        <v>16598</v>
      </c>
      <c r="B512" t="s">
        <v>5</v>
      </c>
      <c r="C512" t="s">
        <v>23</v>
      </c>
      <c r="D512" t="str">
        <f>HYPERLINK("Https://www.gov.gr/ipiresies/epikheirematike-drasterioteta/adeiodoteseis-kai-summorphose/eidiko-metroo-elegkton-optikoakoustikon-ergon","Ειδικό Μητρώο Ελεγκτών Οπτικοακουστικών Έργων")</f>
        <v>Ειδικό Μητρώο Ελεγκτών Οπτικοακουστικών Έργων</v>
      </c>
      <c r="E512" t="s">
        <v>26</v>
      </c>
    </row>
    <row r="513" spans="1:5" x14ac:dyDescent="0.25">
      <c r="A513">
        <v>15500</v>
      </c>
      <c r="B513" t="s">
        <v>5</v>
      </c>
      <c r="C513" t="s">
        <v>23</v>
      </c>
      <c r="D513" t="str">
        <f>HYPERLINK("Https://www.gov.gr/ipiresies/epikheirematike-drasterioteta/adeiodoteseis-kai-summorphose/ekdose-oikodomikon-adeion-e-adeies","Έκδοση οικοδομικών αδειών (e-Άδειες)")</f>
        <v>Έκδοση οικοδομικών αδειών (e-Άδειες)</v>
      </c>
      <c r="E513" t="s">
        <v>57</v>
      </c>
    </row>
    <row r="514" spans="1:5" x14ac:dyDescent="0.25">
      <c r="A514">
        <v>16509</v>
      </c>
      <c r="B514" t="s">
        <v>5</v>
      </c>
      <c r="C514" t="s">
        <v>23</v>
      </c>
      <c r="D514" t="str">
        <f>HYPERLINK("Https://www.gov.gr/ipiresies/epikheirematike-drasterioteta/adeiodoteseis-kai-summorphose/ekmisthose-mekhanokineton-lembon-kai-takhuploon-skaphon","Εκμίσθωση μηχανοκίνητων λέμβων και ταχυπλόων σκαφών")</f>
        <v>Εκμίσθωση μηχανοκίνητων λέμβων και ταχυπλόων σκαφών</v>
      </c>
      <c r="E514" t="s">
        <v>37</v>
      </c>
    </row>
    <row r="515" spans="1:5" x14ac:dyDescent="0.25">
      <c r="A515">
        <v>16073</v>
      </c>
      <c r="B515" t="s">
        <v>5</v>
      </c>
      <c r="C515" t="s">
        <v>23</v>
      </c>
      <c r="D515" t="str">
        <f>HYPERLINK("Https://www.gov.gr/ipiresies/epikheirematike-drasterioteta/adeiodoteseis-kai-summorphose/elegkhos-elektrologikon-se-egkatastaseis-exupereteses-okhematon","Έλεγχος ηλεκτρολογικών σε εγκαταστάσεις εξυπηρέτησης οχημάτων")</f>
        <v>Έλεγχος ηλεκτρολογικών σε εγκαταστάσεις εξυπηρέτησης οχημάτων</v>
      </c>
      <c r="E515" t="s">
        <v>31</v>
      </c>
    </row>
    <row r="516" spans="1:5" x14ac:dyDescent="0.25">
      <c r="A516">
        <v>15667</v>
      </c>
      <c r="B516" t="s">
        <v>5</v>
      </c>
      <c r="C516" t="s">
        <v>23</v>
      </c>
      <c r="D516" t="str">
        <f>HYPERLINK("Https://www.gov.gr/ipiresies/epikheirematike-drasterioteta/adeiodoteseis-kai-summorphose/ellenika-protupa","Ελληνικά πρότυπα")</f>
        <v>Ελληνικά πρότυπα</v>
      </c>
      <c r="E516" t="s">
        <v>174</v>
      </c>
    </row>
    <row r="517" spans="1:5" x14ac:dyDescent="0.25">
      <c r="A517">
        <v>16156</v>
      </c>
      <c r="B517" t="s">
        <v>5</v>
      </c>
      <c r="C517" t="s">
        <v>23</v>
      </c>
      <c r="D517" t="str">
        <f>HYPERLINK("Https://www.gov.gr/ipiresies/epikheirematike-drasterioteta/adeiodoteseis-kai-summorphose/enstaseis-gia-themata-ugeionomikon-elegkhon-kai-periballontikes-ugieines-ton-periphereiakon-enoteton","Ενστάσεις για θέματα υγειονομικών ελέγχων και περιβαλλοντικής υγιεινής των περιφερειακών ενοτήτων")</f>
        <v>Ενστάσεις για θέματα υγειονομικών ελέγχων και περιβαλλοντικής υγιεινής των περιφερειακών ενοτήτων</v>
      </c>
      <c r="E517" t="s">
        <v>31</v>
      </c>
    </row>
    <row r="518" spans="1:5" x14ac:dyDescent="0.25">
      <c r="A518">
        <v>16034</v>
      </c>
      <c r="B518" t="s">
        <v>5</v>
      </c>
      <c r="C518" t="s">
        <v>23</v>
      </c>
      <c r="D518" t="str">
        <f>HYPERLINK("Https://www.gov.gr/ipiresies/epikheirematike-drasterioteta/adeiodoteseis-kai-summorphose/exetaseis-gia-ptukhio-radioerasitekhne","Εξετάσεις για πτυχίο ραδιοερασιτέχνη")</f>
        <v>Εξετάσεις για πτυχίο ραδιοερασιτέχνη</v>
      </c>
      <c r="E518" t="s">
        <v>31</v>
      </c>
    </row>
    <row r="519" spans="1:5" x14ac:dyDescent="0.25">
      <c r="A519">
        <v>15978</v>
      </c>
      <c r="B519" t="s">
        <v>5</v>
      </c>
      <c r="C519" t="s">
        <v>23</v>
      </c>
      <c r="D519" t="str">
        <f>HYPERLINK("Https://www.gov.gr/ipiresies/epikheirematike-drasterioteta/adeiodoteseis-kai-summorphose/exousiodotese-sunergeiou-gia-topothetese-sustematos-periorismou-takhutetas","Εξουσιοδότηση συνεργείου για τοποθέτηση συστήματος περιορισμού ταχύτητας")</f>
        <v>Εξουσιοδότηση συνεργείου για τοποθέτηση συστήματος περιορισμού ταχύτητας</v>
      </c>
      <c r="E519" t="s">
        <v>31</v>
      </c>
    </row>
    <row r="520" spans="1:5" x14ac:dyDescent="0.25">
      <c r="A520">
        <v>16003</v>
      </c>
      <c r="B520" t="s">
        <v>5</v>
      </c>
      <c r="C520" t="s">
        <v>23</v>
      </c>
      <c r="D520" t="str">
        <f>HYPERLINK("Https://www.gov.gr/ipiresies/epikheirematike-drasterioteta/adeiodoteseis-kai-summorphose/exousiodotese-sunergeiou-episkeues-georgikon-mekhanematon","Εξουσιοδότηση συνεργείου επισκευής γεωργικών μηχανημάτων")</f>
        <v>Εξουσιοδότηση συνεργείου επισκευής γεωργικών μηχανημάτων</v>
      </c>
      <c r="E520" t="s">
        <v>31</v>
      </c>
    </row>
    <row r="521" spans="1:5" x14ac:dyDescent="0.25">
      <c r="A521">
        <v>16069</v>
      </c>
      <c r="B521" t="s">
        <v>5</v>
      </c>
      <c r="C521" t="s">
        <v>23</v>
      </c>
      <c r="D521" t="str">
        <f>HYPERLINK("Https://www.gov.gr/ipiresies/epikheirematike-drasterioteta/adeiodoteseis-kai-summorphose/epanekdose-adeias-leitourgias-prateriou-ugron-kausimon-demosias-khreses-meta-apo-egkrise-neon-skhediagrammaton-metabolon","Επανέκδοση άδειας λειτουργίας πρατηρίου υγρών καυσίμων δημόσιας χρήσης μετά από έγκριση νέων σχεδιαγραμμάτων μεταβολών")</f>
        <v>Επανέκδοση άδειας λειτουργίας πρατηρίου υγρών καυσίμων δημόσιας χρήσης μετά από έγκριση νέων σχεδιαγραμμάτων μεταβολών</v>
      </c>
      <c r="E521" t="s">
        <v>31</v>
      </c>
    </row>
    <row r="522" spans="1:5" x14ac:dyDescent="0.25">
      <c r="A522">
        <v>16324</v>
      </c>
      <c r="B522" t="s">
        <v>5</v>
      </c>
      <c r="C522" t="s">
        <v>23</v>
      </c>
      <c r="D522" t="str">
        <f>HYPERLINK("Https://www.gov.gr/ipiresies/epikheirematike-drasterioteta/adeiodoteseis-kai-summorphose/epektase-metaphora-gumnasteriou-e-athletikes-skholes-se-neo-ktirio","Επέκταση / μεταφορά γυμναστηρίου ή αθλητικής σχολής σε νέο κτίριο")</f>
        <v>Επέκταση / μεταφορά γυμναστηρίου ή αθλητικής σχολής σε νέο κτίριο</v>
      </c>
      <c r="E522" t="s">
        <v>31</v>
      </c>
    </row>
    <row r="523" spans="1:5" x14ac:dyDescent="0.25">
      <c r="A523">
        <v>16497</v>
      </c>
      <c r="B523" t="s">
        <v>5</v>
      </c>
      <c r="C523" t="s">
        <v>23</v>
      </c>
      <c r="D523" t="str">
        <f>HYPERLINK("Https://www.gov.gr/ipiresies/epikheirematike-drasterioteta/adeiodoteseis-kai-summorphose/episkeue-sunterese-ploiou-apo-eidike-epikheirese","Επισκευή − συντήρηση πλοίου από ειδική επιχείρηση")</f>
        <v>Επισκευή − συντήρηση πλοίου από ειδική επιχείρηση</v>
      </c>
      <c r="E523" t="s">
        <v>37</v>
      </c>
    </row>
    <row r="524" spans="1:5" x14ac:dyDescent="0.25">
      <c r="A524">
        <v>16496</v>
      </c>
      <c r="B524" t="s">
        <v>5</v>
      </c>
      <c r="C524" t="s">
        <v>23</v>
      </c>
      <c r="D524" t="str">
        <f>HYPERLINK("Https://www.gov.gr/ipiresies/epikheirematike-drasterioteta/adeiodoteseis-kai-summorphose/episkeue-sunterese-ploiou-apo-eidike-epikheirese-ploiarkhos","Επισκευή − συντήρηση πλοίου από ειδική επιχείρηση (πλοίαρχος)")</f>
        <v>Επισκευή − συντήρηση πλοίου από ειδική επιχείρηση (πλοίαρχος)</v>
      </c>
      <c r="E524" t="s">
        <v>37</v>
      </c>
    </row>
    <row r="525" spans="1:5" x14ac:dyDescent="0.25">
      <c r="A525">
        <v>15772</v>
      </c>
      <c r="B525" t="s">
        <v>5</v>
      </c>
      <c r="C525" t="s">
        <v>23</v>
      </c>
      <c r="D525" t="str">
        <f>HYPERLINK("Https://www.gov.gr/ipiresies/epikheirematike-drasterioteta/adeiodoteseis-kai-summorphose/epistrophe-telon-genikou-emporikou-metroou-geme","Επιστροφή τελών Γενικού Εμπορικού Μητρώου (ΓΕΜΗ)")</f>
        <v>Επιστροφή τελών Γενικού Εμπορικού Μητρώου (ΓΕΜΗ)</v>
      </c>
      <c r="E525" t="s">
        <v>74</v>
      </c>
    </row>
    <row r="526" spans="1:5" x14ac:dyDescent="0.25">
      <c r="A526">
        <v>16498</v>
      </c>
      <c r="B526" t="s">
        <v>5</v>
      </c>
      <c r="C526" t="s">
        <v>23</v>
      </c>
      <c r="D526" t="str">
        <f>HYPERLINK("Https://www.gov.gr/ipiresies/epikheirematike-drasterioteta/adeiodoteseis-kai-summorphose/ergasies-metatropes-ploiou-apo-ergoleptike-epikheirese","Εργασίες μετατροπής πλοίου από εργοληπτική επιχείρηση")</f>
        <v>Εργασίες μετατροπής πλοίου από εργοληπτική επιχείρηση</v>
      </c>
      <c r="E526" t="s">
        <v>37</v>
      </c>
    </row>
    <row r="527" spans="1:5" x14ac:dyDescent="0.25">
      <c r="A527">
        <v>16499</v>
      </c>
      <c r="B527" t="s">
        <v>5</v>
      </c>
      <c r="C527" t="s">
        <v>23</v>
      </c>
      <c r="D527" t="str">
        <f>HYPERLINK("Https://www.gov.gr/ipiresies/epikheirematike-drasterioteta/adeiodoteseis-kai-summorphose/ergasies-metatropes-tou-ploiou-apo-eidike-epikheirese","Εργασίες μετατροπής του πλοίου από ειδική επιχείρηση")</f>
        <v>Εργασίες μετατροπής του πλοίου από ειδική επιχείρηση</v>
      </c>
      <c r="E527" t="s">
        <v>37</v>
      </c>
    </row>
    <row r="528" spans="1:5" x14ac:dyDescent="0.25">
      <c r="A528">
        <v>15355</v>
      </c>
      <c r="B528" t="s">
        <v>5</v>
      </c>
      <c r="C528" t="s">
        <v>23</v>
      </c>
      <c r="D528" t="str">
        <f>HYPERLINK("Https://www.gov.gr/ipiresies/epikheirematike-drasterioteta/adeiodoteseis-kai-summorphose/epharmoge-radiopharon-plb","Εφαρμογή ραδιοφάρων (PLB)")</f>
        <v>Εφαρμογή ραδιοφάρων (PLB)</v>
      </c>
      <c r="E528" t="s">
        <v>37</v>
      </c>
    </row>
    <row r="529" spans="1:5" x14ac:dyDescent="0.25">
      <c r="A529">
        <v>15834</v>
      </c>
      <c r="B529" t="s">
        <v>5</v>
      </c>
      <c r="C529" t="s">
        <v>23</v>
      </c>
      <c r="D529" t="str">
        <f>HYPERLINK("Https://www.gov.gr/ipiresies/epikheirematike-drasterioteta/adeiodoteseis-kai-summorphose/elektronike-katathese-emporikou-sematos","Ηλεκτρονική κατάθεση εμπορικού σήματος")</f>
        <v>Ηλεκτρονική κατάθεση εμπορικού σήματος</v>
      </c>
      <c r="E529" t="s">
        <v>107</v>
      </c>
    </row>
    <row r="530" spans="1:5" x14ac:dyDescent="0.25">
      <c r="A530">
        <v>15722</v>
      </c>
      <c r="B530" t="s">
        <v>5</v>
      </c>
      <c r="C530" t="s">
        <v>23</v>
      </c>
      <c r="D530" t="str">
        <f>HYPERLINK("Https://www.gov.gr/ipiresies/epikheirematike-drasterioteta/adeiodoteseis-kai-summorphose/elektroniko-apotheterio-telepikoinoniakon-takhudromikon-proionton","Ηλεκτρονικό αποθετήριο τηλεπικοινωνιακών / ταχυδρομικών προϊόντων")</f>
        <v>Ηλεκτρονικό αποθετήριο τηλεπικοινωνιακών / ταχυδρομικών προϊόντων</v>
      </c>
      <c r="E530" t="s">
        <v>162</v>
      </c>
    </row>
    <row r="531" spans="1:5" x14ac:dyDescent="0.25">
      <c r="A531">
        <v>15781</v>
      </c>
      <c r="B531" t="s">
        <v>5</v>
      </c>
      <c r="C531" t="s">
        <v>23</v>
      </c>
      <c r="D531" t="str">
        <f>HYPERLINK("Https://www.gov.gr/ipiresies/epikheirematike-drasterioteta/adeiodoteseis-kai-summorphose/elektroniko-metroo-apobleton-ema","Ηλεκτρονικό Μητρώο Αποβλήτων (ΗΜΑ)")</f>
        <v>Ηλεκτρονικό Μητρώο Αποβλήτων (ΗΜΑ)</v>
      </c>
      <c r="E531" t="s">
        <v>17</v>
      </c>
    </row>
    <row r="532" spans="1:5" x14ac:dyDescent="0.25">
      <c r="A532">
        <v>15393</v>
      </c>
      <c r="B532" t="s">
        <v>5</v>
      </c>
      <c r="C532" t="s">
        <v>23</v>
      </c>
      <c r="D532" t="str">
        <f>HYPERLINK("Https://www.gov.gr/ipiresies/epikheirematike-drasterioteta/adeiodoteseis-kai-summorphose/elektroniko-metroo-reumatodoton-reumatolepton","Ηλεκτρονικό Μητρώο Ρευματοδοτών - Ρευματοληπτών")</f>
        <v>Ηλεκτρονικό Μητρώο Ρευματοδοτών - Ρευματοληπτών</v>
      </c>
      <c r="E532" t="s">
        <v>74</v>
      </c>
    </row>
    <row r="533" spans="1:5" x14ac:dyDescent="0.25">
      <c r="A533">
        <v>15783</v>
      </c>
      <c r="B533" t="s">
        <v>5</v>
      </c>
      <c r="C533" t="s">
        <v>23</v>
      </c>
      <c r="D533" t="str">
        <f>HYPERLINK("Https://www.gov.gr/ipiresies/epikheirematike-drasterioteta/adeiodoteseis-kai-summorphose/elektroniko-periballontiko-metroo-epm","Ηλεκτρονικό Περιβαλλοντικό Μητρώο (ΗΠΜ)")</f>
        <v>Ηλεκτρονικό Περιβαλλοντικό Μητρώο (ΗΠΜ)</v>
      </c>
      <c r="E533" t="s">
        <v>17</v>
      </c>
    </row>
    <row r="534" spans="1:5" x14ac:dyDescent="0.25">
      <c r="A534">
        <v>15186</v>
      </c>
      <c r="B534" t="s">
        <v>5</v>
      </c>
      <c r="C534" t="s">
        <v>23</v>
      </c>
      <c r="D534" t="str">
        <f>HYPERLINK("Https://www.gov.gr/ipiresies/epikheirematike-drasterioteta/adeiodoteseis-kai-summorphose/elektroniko-sustema-krateses-theseos-kai-ekdoses-eisiterion-epibaton-kai-apodeixeon-metaphoras-okhematon-esktheea","Ηλεκτρονικό Σύστημα Κράτησης Θέσεως και Έκδοσης Εισιτηρίων Επιβατών και Αποδείξεων Μεταφοράς Οχημάτων (ΗΣΚΘΕΕΑ)")</f>
        <v>Ηλεκτρονικό Σύστημα Κράτησης Θέσεως και Έκδοσης Εισιτηρίων Επιβατών και Αποδείξεων Μεταφοράς Οχημάτων (ΗΣΚΘΕΕΑ)</v>
      </c>
      <c r="E534" t="s">
        <v>37</v>
      </c>
    </row>
    <row r="535" spans="1:5" x14ac:dyDescent="0.25">
      <c r="A535">
        <v>16127</v>
      </c>
      <c r="B535" t="s">
        <v>5</v>
      </c>
      <c r="C535" t="s">
        <v>23</v>
      </c>
      <c r="D535" t="str">
        <f>HYPERLINK("Https://www.gov.gr/ipiresies/epikheirematike-drasterioteta/adeiodoteseis-kai-summorphose/idruse-kai-leitourgia-epikheireses-epaggelmatikes-khreses-bioktonon-skeuasmaton-gia-ten-katapolemese-entomon-kai-troktikon","Ίδρυση και λειτουργία επιχείρησης επαγγελματικής χρήσης βιοκτόνων σκευασμάτων για την καταπολέμηση εντόμων και τρωκτικών")</f>
        <v>Ίδρυση και λειτουργία επιχείρησης επαγγελματικής χρήσης βιοκτόνων σκευασμάτων για την καταπολέμηση εντόμων και τρωκτικών</v>
      </c>
      <c r="E535" t="s">
        <v>31</v>
      </c>
    </row>
    <row r="536" spans="1:5" x14ac:dyDescent="0.25">
      <c r="A536">
        <v>16511</v>
      </c>
      <c r="B536" t="s">
        <v>5</v>
      </c>
      <c r="C536" t="s">
        <v>23</v>
      </c>
      <c r="D536" t="str">
        <f>HYPERLINK("Https://www.gov.gr/ipiresies/epikheirematike-drasterioteta/adeiodoteseis-kai-summorphose/idruse-kai-leitourgia-katadutikou-sunergeiou","Ίδρυση και λειτουργία καταδυτικού συνεργείου")</f>
        <v>Ίδρυση και λειτουργία καταδυτικού συνεργείου</v>
      </c>
      <c r="E536" t="s">
        <v>37</v>
      </c>
    </row>
    <row r="537" spans="1:5" x14ac:dyDescent="0.25">
      <c r="A537">
        <v>15785</v>
      </c>
      <c r="B537" t="s">
        <v>5</v>
      </c>
      <c r="C537" t="s">
        <v>23</v>
      </c>
      <c r="D537" t="str">
        <f>HYPERLINK("Https://www.gov.gr/ipiresies/epikheirematike-drasterioteta/adeiodoteseis-kai-summorphose/katagraphe-kai-parakolouthese-exoplismou-pou-periekhei-phthorioukha-aeria-tou-thermokepiou-ousies-pou-katastrephoun-te-stibada-tou-ozontos","Καταγραφή και παρακολούθηση εξοπλισμού που περιέχει φθοριούχα αέρια του θερμοκηπίου / ουσίες που καταστρέφουν τη στιβάδα του όζοντος")</f>
        <v>Καταγραφή και παρακολούθηση εξοπλισμού που περιέχει φθοριούχα αέρια του θερμοκηπίου / ουσίες που καταστρέφουν τη στιβάδα του όζοντος</v>
      </c>
      <c r="E537" t="s">
        <v>17</v>
      </c>
    </row>
    <row r="538" spans="1:5" x14ac:dyDescent="0.25">
      <c r="A538">
        <v>15711</v>
      </c>
      <c r="B538" t="s">
        <v>5</v>
      </c>
      <c r="C538" t="s">
        <v>23</v>
      </c>
      <c r="D538" t="str">
        <f>HYPERLINK("Https://www.gov.gr/ipiresies/epikheirematike-drasterioteta/adeiodoteseis-kai-summorphose/kataskeues-keraion-selua","Κατασκευές κεραιών (ΣΗΛΥΑ)")</f>
        <v>Κατασκευές κεραιών (ΣΗΛΥΑ)</v>
      </c>
      <c r="E538" t="s">
        <v>162</v>
      </c>
    </row>
    <row r="539" spans="1:5" x14ac:dyDescent="0.25">
      <c r="A539">
        <v>16708</v>
      </c>
      <c r="B539" t="s">
        <v>5</v>
      </c>
      <c r="C539" t="s">
        <v>23</v>
      </c>
      <c r="D539" t="str">
        <f>HYPERLINK("Https://www.gov.gr/ipiresies/epikheirematike-drasterioteta/adeiodoteseis-kai-summorphose/katastaseis-sumbaseon-ergasias-ton-igee","Καταστάσεις συμβάσεων εργασίας των ΙΓΕΕ")</f>
        <v>Καταστάσεις συμβάσεων εργασίας των ΙΓΕΕ</v>
      </c>
      <c r="E539" t="s">
        <v>51</v>
      </c>
    </row>
    <row r="540" spans="1:5" x14ac:dyDescent="0.25">
      <c r="A540">
        <v>15771</v>
      </c>
      <c r="B540" t="s">
        <v>5</v>
      </c>
      <c r="C540" t="s">
        <v>23</v>
      </c>
      <c r="D540" t="str">
        <f>HYPERLINK("Https://www.gov.gr/ipiresies/epikheirematike-drasterioteta/adeiodoteseis-kai-summorphose/katakhorise-sto-geniko-emporiko-metroo-geme","Καταχώριση στο Γενικό Εμπορικό Μητρώο (ΓΕΜΗ)")</f>
        <v>Καταχώριση στο Γενικό Εμπορικό Μητρώο (ΓΕΜΗ)</v>
      </c>
      <c r="E540" t="s">
        <v>74</v>
      </c>
    </row>
    <row r="541" spans="1:5" x14ac:dyDescent="0.25">
      <c r="A541">
        <v>16445</v>
      </c>
      <c r="B541" t="s">
        <v>5</v>
      </c>
      <c r="C541" t="s">
        <v>23</v>
      </c>
      <c r="D541" t="str">
        <f>HYPERLINK("Https://www.gov.gr/ipiresies/epikheirematike-drasterioteta/adeiodoteseis-kai-summorphose/katakhorise-stoikheion-upeuthunou-prostasias-dedomenon-dpo","Καταχώριση στοιχείων Υπευθύνου Προστασίας Δεδομένων (DPO)")</f>
        <v>Καταχώριση στοιχείων Υπευθύνου Προστασίας Δεδομένων (DPO)</v>
      </c>
      <c r="E541" t="s">
        <v>45</v>
      </c>
    </row>
    <row r="542" spans="1:5" x14ac:dyDescent="0.25">
      <c r="A542">
        <v>16066</v>
      </c>
      <c r="B542" t="s">
        <v>5</v>
      </c>
      <c r="C542" t="s">
        <v>23</v>
      </c>
      <c r="D542" t="str">
        <f>HYPERLINK("Https://www.gov.gr/ipiresies/epikheirematike-drasterioteta/adeiodoteseis-kai-summorphose/koinotike-adeia-metakineses-phortegon-demosias-khreses-phdkh-sto-exoteriko","Κοινοτική άδεια μετακίνησης φορτηγών δημοσίας χρήσης (ΦΔΧ) στο εξωτερικό")</f>
        <v>Κοινοτική άδεια μετακίνησης φορτηγών δημοσίας χρήσης (ΦΔΧ) στο εξωτερικό</v>
      </c>
      <c r="E542" t="s">
        <v>31</v>
      </c>
    </row>
    <row r="543" spans="1:5" x14ac:dyDescent="0.25">
      <c r="A543">
        <v>16130</v>
      </c>
      <c r="B543" t="s">
        <v>5</v>
      </c>
      <c r="C543" t="s">
        <v>23</v>
      </c>
      <c r="D543" t="str">
        <f>HYPERLINK("Https://www.gov.gr/ipiresies/epikheirematike-drasterioteta/adeiodoteseis-kai-summorphose/kodikoi-arithmoi-gia-ten-emphialose-oinon-prostateuomenes-geographikes-endeixes-pge","Κωδικοί αριθμοί για την εμφιάλωση οίνων Προστατευόμενης Γεωγραφικής Ένδειξης (ΠΓΕ)")</f>
        <v>Κωδικοί αριθμοί για την εμφιάλωση οίνων Προστατευόμενης Γεωγραφικής Ένδειξης (ΠΓΕ)</v>
      </c>
      <c r="E543" t="s">
        <v>31</v>
      </c>
    </row>
    <row r="544" spans="1:5" x14ac:dyDescent="0.25">
      <c r="A544">
        <v>15835</v>
      </c>
      <c r="B544" t="s">
        <v>5</v>
      </c>
      <c r="C544" t="s">
        <v>23</v>
      </c>
      <c r="D544" t="str">
        <f>HYPERLINK("Https://www.gov.gr/ipiresies/epikheirematike-drasterioteta/adeiodoteseis-kai-summorphose/metaboles-se-emporika-semata","Μεταβολές σε εμπορικά σήματα")</f>
        <v>Μεταβολές σε εμπορικά σήματα</v>
      </c>
      <c r="E544" t="s">
        <v>107</v>
      </c>
    </row>
    <row r="545" spans="1:5" x14ac:dyDescent="0.25">
      <c r="A545">
        <v>15782</v>
      </c>
      <c r="B545" t="s">
        <v>5</v>
      </c>
      <c r="C545" t="s">
        <v>23</v>
      </c>
      <c r="D545" t="str">
        <f>HYPERLINK("Https://www.gov.gr/ipiresies/epikheirematike-drasterioteta/adeiodoteseis-kai-summorphose/metroo-dasikon-sunetairismon-medaso","Μητρώο Δασικών Συνεταιρισμών (ΜΗΔΑΣΟ)")</f>
        <v>Μητρώο Δασικών Συνεταιρισμών (ΜΗΔΑΣΟ)</v>
      </c>
      <c r="E545" t="s">
        <v>17</v>
      </c>
    </row>
    <row r="546" spans="1:5" x14ac:dyDescent="0.25">
      <c r="A546">
        <v>15440</v>
      </c>
      <c r="B546" t="s">
        <v>5</v>
      </c>
      <c r="C546" t="s">
        <v>23</v>
      </c>
      <c r="D546" t="str">
        <f>HYPERLINK("Https://www.gov.gr/ipiresies/epikheirematike-drasterioteta/adeiodoteseis-kai-summorphose/metroo-dexamenon-energeiakon-proionton","Μητρώο δεξαμενών ενεργειακών προϊόντων")</f>
        <v>Μητρώο δεξαμενών ενεργειακών προϊόντων</v>
      </c>
      <c r="E546" t="s">
        <v>59</v>
      </c>
    </row>
    <row r="547" spans="1:5" x14ac:dyDescent="0.25">
      <c r="A547">
        <v>15307</v>
      </c>
      <c r="B547" t="s">
        <v>5</v>
      </c>
      <c r="C547" t="s">
        <v>23</v>
      </c>
      <c r="D547" t="str">
        <f>HYPERLINK("Https://www.gov.gr/ipiresies/epikheirematike-drasterioteta/adeiodoteseis-kai-summorphose/metroo-elegkton-domeses","Μητρώο ελεγκτών δόμησης")</f>
        <v>Μητρώο ελεγκτών δόμησης</v>
      </c>
      <c r="E547" t="s">
        <v>57</v>
      </c>
    </row>
    <row r="548" spans="1:5" x14ac:dyDescent="0.25">
      <c r="A548">
        <v>15441</v>
      </c>
      <c r="B548" t="s">
        <v>5</v>
      </c>
      <c r="C548" t="s">
        <v>23</v>
      </c>
      <c r="D548" t="str">
        <f>HYPERLINK("Https://www.gov.gr/ipiresies/epikheirematike-drasterioteta/adeiodoteseis-kai-summorphose/metroo-ellenikou-sematos","Μητρώο Ελληνικού Σήματος")</f>
        <v>Μητρώο Ελληνικού Σήματος</v>
      </c>
      <c r="E548" t="s">
        <v>74</v>
      </c>
    </row>
    <row r="549" spans="1:5" x14ac:dyDescent="0.25">
      <c r="A549">
        <v>15576</v>
      </c>
      <c r="B549" t="s">
        <v>5</v>
      </c>
      <c r="C549" t="s">
        <v>23</v>
      </c>
      <c r="D549" t="str">
        <f>HYPERLINK("Https://www.gov.gr/ipiresies/epikheirematike-drasterioteta/adeiodoteseis-kai-summorphose/metroo-epaggelmatikon-adeion-nomikou-prosopou","Μητρώο επαγγελματικών αδειών νομικού προσώπου")</f>
        <v>Μητρώο επαγγελματικών αδειών νομικού προσώπου</v>
      </c>
      <c r="E549" t="s">
        <v>74</v>
      </c>
    </row>
    <row r="550" spans="1:5" x14ac:dyDescent="0.25">
      <c r="A550">
        <v>15575</v>
      </c>
      <c r="B550" t="s">
        <v>5</v>
      </c>
      <c r="C550" t="s">
        <v>23</v>
      </c>
      <c r="D550" t="str">
        <f>HYPERLINK("Https://www.gov.gr/ipiresies/epikheirematike-drasterioteta/adeiodoteseis-kai-summorphose/metroo-epaggelmatikon-adeion-phusikou-prosopou","Μητρώο επαγγελματικών αδειών φυσικού προσώπου")</f>
        <v>Μητρώο επαγγελματικών αδειών φυσικού προσώπου</v>
      </c>
      <c r="E550" t="s">
        <v>74</v>
      </c>
    </row>
    <row r="551" spans="1:5" x14ac:dyDescent="0.25">
      <c r="A551">
        <v>15793</v>
      </c>
      <c r="B551" t="s">
        <v>5</v>
      </c>
      <c r="C551" t="s">
        <v>23</v>
      </c>
      <c r="D551" t="str">
        <f>HYPERLINK("Https://www.gov.gr/ipiresies/epikheirematike-drasterioteta/adeiodoteseis-kai-summorphose/metroo-epikheireseon-elektronikon-meson-enemeroses","Μητρώο επιχειρήσεων ηλεκτρονικών μέσων ενημέρωσης")</f>
        <v>Μητρώο επιχειρήσεων ηλεκτρονικών μέσων ενημέρωσης</v>
      </c>
      <c r="E551" t="s">
        <v>153</v>
      </c>
    </row>
    <row r="552" spans="1:5" x14ac:dyDescent="0.25">
      <c r="A552">
        <v>15729</v>
      </c>
      <c r="B552" t="s">
        <v>5</v>
      </c>
      <c r="C552" t="s">
        <v>23</v>
      </c>
      <c r="D552" t="str">
        <f>HYPERLINK("Https://www.gov.gr/ipiresies/epikheirematike-drasterioteta/adeiodoteseis-kai-summorphose/metroo-epikheireseon-kai-adeion-parokhon-elektronikon-epikoinonion-takhudromikon-uperesion","Μητρώο επιχειρήσεων και αδειών παρόχων ηλεκτρονικών επικοινωνιών / ταχυδρομικών υπηρεσιών")</f>
        <v>Μητρώο επιχειρήσεων και αδειών παρόχων ηλεκτρονικών επικοινωνιών / ταχυδρομικών υπηρεσιών</v>
      </c>
      <c r="E552" t="s">
        <v>162</v>
      </c>
    </row>
    <row r="553" spans="1:5" x14ac:dyDescent="0.25">
      <c r="A553">
        <v>15574</v>
      </c>
      <c r="B553" t="s">
        <v>5</v>
      </c>
      <c r="C553" t="s">
        <v>23</v>
      </c>
      <c r="D553" t="str">
        <f>HYPERLINK("Https://www.gov.gr/ipiresies/epikheirematike-drasterioteta/adeiodoteseis-kai-summorphose/metroo-elektrikon-egkatastaseon","Μητρώο ηλεκτρικών εγκαταστάσεων")</f>
        <v>Μητρώο ηλεκτρικών εγκαταστάσεων</v>
      </c>
      <c r="E553" t="s">
        <v>74</v>
      </c>
    </row>
    <row r="554" spans="1:5" x14ac:dyDescent="0.25">
      <c r="A554">
        <v>15436</v>
      </c>
      <c r="B554" t="s">
        <v>5</v>
      </c>
      <c r="C554" t="s">
        <v>23</v>
      </c>
      <c r="D554" t="str">
        <f>HYPERLINK("Https://www.gov.gr/ipiresies/epikheirematike-drasterioteta/adeiodoteseis-kai-summorphose/metroo-praterion-ugron-kausimon","Μητρώο πρατηρίων υγρών καυσίμων")</f>
        <v>Μητρώο πρατηρίων υγρών καυσίμων</v>
      </c>
      <c r="E554" t="s">
        <v>59</v>
      </c>
    </row>
    <row r="555" spans="1:5" x14ac:dyDescent="0.25">
      <c r="A555">
        <v>15450</v>
      </c>
      <c r="B555" t="s">
        <v>5</v>
      </c>
      <c r="C555" t="s">
        <v>23</v>
      </c>
      <c r="D555" t="str">
        <f>HYPERLINK("Https://www.gov.gr/ipiresies/epikheirematike-drasterioteta/adeiodoteseis-kai-summorphose/metroo-phoreon-diamesolabeses-kai-sumbaseon-eikh-okhematon-me-odego","Μητρώο φορέων διαμεσολάβησης και συμβάσεων ΕΙΧ οχημάτων με οδηγό")</f>
        <v>Μητρώο φορέων διαμεσολάβησης και συμβάσεων ΕΙΧ οχημάτων με οδηγό</v>
      </c>
      <c r="E555" t="s">
        <v>163</v>
      </c>
    </row>
    <row r="556" spans="1:5" x14ac:dyDescent="0.25">
      <c r="A556">
        <v>15713</v>
      </c>
      <c r="B556" t="s">
        <v>5</v>
      </c>
      <c r="C556" t="s">
        <v>23</v>
      </c>
      <c r="D556" t="str">
        <f>HYPERLINK("Https://www.gov.gr/ipiresies/epikheirematike-drasterioteta/adeiodoteseis-kai-summorphose/montelo-prokatarktikou-elegkhou-oikonomikon-programmaton-elektronikon-epikoinonion","Μοντέλο προκαταρκτικού ελέγχου οικονομικών προγραμμάτων ηλεκτρονικών επικοινωνιών")</f>
        <v>Μοντέλο προκαταρκτικού ελέγχου οικονομικών προγραμμάτων ηλεκτρονικών επικοινωνιών</v>
      </c>
      <c r="E556" t="s">
        <v>162</v>
      </c>
    </row>
    <row r="557" spans="1:5" x14ac:dyDescent="0.25">
      <c r="A557">
        <v>16500</v>
      </c>
      <c r="B557" t="s">
        <v>5</v>
      </c>
      <c r="C557" t="s">
        <v>23</v>
      </c>
      <c r="D557" t="str">
        <f>HYPERLINK("Https://www.gov.gr/ipiresies/epikheirematike-drasterioteta/adeiodoteseis-kai-summorphose/naupegese-ploiou-apo-eidike-epikheirese","Ναυπήγηση πλοίου από ειδική επιχείρηση")</f>
        <v>Ναυπήγηση πλοίου από ειδική επιχείρηση</v>
      </c>
      <c r="E557" t="s">
        <v>37</v>
      </c>
    </row>
    <row r="558" spans="1:5" x14ac:dyDescent="0.25">
      <c r="A558">
        <v>16501</v>
      </c>
      <c r="B558" t="s">
        <v>5</v>
      </c>
      <c r="C558" t="s">
        <v>23</v>
      </c>
      <c r="D558" t="str">
        <f>HYPERLINK("Https://www.gov.gr/ipiresies/epikheirematike-drasterioteta/adeiodoteseis-kai-summorphose/naupegese-ploiou-apo-ergoleptike-epikheirese","Ναυπήγηση πλοίου από εργοληπτική Επιχείρηση")</f>
        <v>Ναυπήγηση πλοίου από εργοληπτική Επιχείρηση</v>
      </c>
      <c r="E558" t="s">
        <v>37</v>
      </c>
    </row>
    <row r="559" spans="1:5" x14ac:dyDescent="0.25">
      <c r="A559">
        <v>16682</v>
      </c>
      <c r="B559" t="s">
        <v>5</v>
      </c>
      <c r="C559" t="s">
        <v>23</v>
      </c>
      <c r="D559" t="str">
        <f>HYPERLINK("Https://www.gov.gr/ipiresies/epikheirematike-drasterioteta/adeiodoteseis-kai-summorphose/paratase-prothesmias-upoboles-apopseon","Παράταση προθεσμίας υποβολής απόψεων")</f>
        <v>Παράταση προθεσμίας υποβολής απόψεων</v>
      </c>
      <c r="E559" t="s">
        <v>31</v>
      </c>
    </row>
    <row r="560" spans="1:5" x14ac:dyDescent="0.25">
      <c r="A560">
        <v>16512</v>
      </c>
      <c r="B560" t="s">
        <v>5</v>
      </c>
      <c r="C560" t="s">
        <v>23</v>
      </c>
      <c r="D560" t="str">
        <f>HYPERLINK("Https://www.gov.gr/ipiresies/epikheirematike-drasterioteta/adeiodoteseis-kai-summorphose/parokheas-katadutikon-uperesion-anapsukhes","Παροχέας καταδυτικών υπηρεσιών αναψυχής")</f>
        <v>Παροχέας καταδυτικών υπηρεσιών αναψυχής</v>
      </c>
      <c r="E560" t="s">
        <v>37</v>
      </c>
    </row>
    <row r="561" spans="1:5" x14ac:dyDescent="0.25">
      <c r="A561">
        <v>15659</v>
      </c>
      <c r="B561" t="s">
        <v>5</v>
      </c>
      <c r="C561" t="s">
        <v>23</v>
      </c>
      <c r="D561" t="str">
        <f>HYPERLINK("Https://www.gov.gr/ipiresies/epikheirematike-drasterioteta/adeiodoteseis-kai-summorphose/pistopoiemenoi-ektimetes-tekhnikou-epimeleteriou-ellados-tee","Πιστοποιημένοι εκτιμητές Τεχνικού Επιμελητηρίου Ελλάδος (ΤΕΕ)")</f>
        <v>Πιστοποιημένοι εκτιμητές Τεχνικού Επιμελητηρίου Ελλάδος (ΤΕΕ)</v>
      </c>
      <c r="E561" t="s">
        <v>57</v>
      </c>
    </row>
    <row r="562" spans="1:5" x14ac:dyDescent="0.25">
      <c r="A562">
        <v>15770</v>
      </c>
      <c r="B562" t="s">
        <v>5</v>
      </c>
      <c r="C562" t="s">
        <v>23</v>
      </c>
      <c r="D562" t="str">
        <f>HYPERLINK("Https://www.gov.gr/ipiresies/epikheirematike-drasterioteta/adeiodoteseis-kai-summorphose/pistopoietika-kai-antigrapha-genikou-emporikou-metroou-geme","Πιστοποιητικά και αντίγραφα Γενικού Εμπορικού Μητρώου (ΓΕΜΗ)")</f>
        <v>Πιστοποιητικά και αντίγραφα Γενικού Εμπορικού Μητρώου (ΓΕΜΗ)</v>
      </c>
      <c r="E562" t="s">
        <v>74</v>
      </c>
    </row>
    <row r="563" spans="1:5" x14ac:dyDescent="0.25">
      <c r="A563">
        <v>16133</v>
      </c>
      <c r="B563" t="s">
        <v>5</v>
      </c>
      <c r="C563" t="s">
        <v>23</v>
      </c>
      <c r="D563" t="str">
        <f>HYPERLINK("Https://www.gov.gr/ipiresies/epikheirematike-drasterioteta/adeiodoteseis-kai-summorphose/pistopoietiko-apallages-metron-ugeionomikou-elegkhou-ploiou-pistopoietiko-ugeionomikou-elegkhou-ploiou","Πιστοποιητικό απαλλαγής μέτρων υγειονομικού ελέγχου πλοίου / Πιστοποιητικό υγειονομικού ελέγχου πλοίου")</f>
        <v>Πιστοποιητικό απαλλαγής μέτρων υγειονομικού ελέγχου πλοίου / Πιστοποιητικό υγειονομικού ελέγχου πλοίου</v>
      </c>
      <c r="E563" t="s">
        <v>31</v>
      </c>
    </row>
    <row r="564" spans="1:5" x14ac:dyDescent="0.25">
      <c r="A564">
        <v>15660</v>
      </c>
      <c r="B564" t="s">
        <v>5</v>
      </c>
      <c r="C564" t="s">
        <v>23</v>
      </c>
      <c r="D564" t="str">
        <f>HYPERLINK("Https://www.gov.gr/ipiresies/epikheirematike-drasterioteta/adeiodoteseis-kai-summorphose/energeiake-apodose-ktirion","Προμήθεια ειδικού λογισμικού για τον υπολογισμό της ενεργειακής απόδοσης κτιρίων")</f>
        <v>Προμήθεια ειδικού λογισμικού για τον υπολογισμό της ενεργειακής απόδοσης κτιρίων</v>
      </c>
      <c r="E564" t="s">
        <v>57</v>
      </c>
    </row>
    <row r="565" spans="1:5" x14ac:dyDescent="0.25">
      <c r="A565">
        <v>16321</v>
      </c>
      <c r="B565" t="s">
        <v>5</v>
      </c>
      <c r="C565" t="s">
        <v>23</v>
      </c>
      <c r="D565" t="str">
        <f>HYPERLINK("Https://www.gov.gr/ipiresies/epikheirematike-drasterioteta/adeiodoteseis-kai-summorphose/proslepse-dieuthunte-spoudon-erasitekhnikes-skholes-khorou","Πρόσληψη διευθυντή σπουδών ερασιτεχνικής σχολής χορού")</f>
        <v>Πρόσληψη διευθυντή σπουδών ερασιτεχνικής σχολής χορού</v>
      </c>
      <c r="E565" t="s">
        <v>31</v>
      </c>
    </row>
    <row r="566" spans="1:5" x14ac:dyDescent="0.25">
      <c r="A566">
        <v>16322</v>
      </c>
      <c r="B566" t="s">
        <v>5</v>
      </c>
      <c r="C566" t="s">
        <v>23</v>
      </c>
      <c r="D566" t="str">
        <f>HYPERLINK("Https://www.gov.gr/ipiresies/epikheirematike-drasterioteta/adeiodoteseis-kai-summorphose/proslepse-kathegeton-erasitekhnikes-skholes-khorou","Πρόσληψη καθηγητών ερασιτεχνικής σχολής χορού")</f>
        <v>Πρόσληψη καθηγητών ερασιτεχνικής σχολής χορού</v>
      </c>
      <c r="E566" t="s">
        <v>31</v>
      </c>
    </row>
    <row r="567" spans="1:5" x14ac:dyDescent="0.25">
      <c r="A567">
        <v>15520</v>
      </c>
      <c r="B567" t="s">
        <v>5</v>
      </c>
      <c r="C567" t="s">
        <v>23</v>
      </c>
      <c r="D567" t="str">
        <f>HYPERLINK("Https://www.gov.gr/ipiresies/epikheirematike-drasterioteta/adeiodoteseis-kai-summorphose/summetokhe-bibliopoleion-sten-agrotike-estia","Συμμετοχή βιβλιοπωλείων στην Αγροτική Εστία")</f>
        <v>Συμμετοχή βιβλιοπωλείων στην Αγροτική Εστία</v>
      </c>
      <c r="E567" t="s">
        <v>87</v>
      </c>
    </row>
    <row r="568" spans="1:5" x14ac:dyDescent="0.25">
      <c r="A568">
        <v>15521</v>
      </c>
      <c r="B568" t="s">
        <v>5</v>
      </c>
      <c r="C568" t="s">
        <v>23</v>
      </c>
      <c r="D568" t="str">
        <f>HYPERLINK("Https://www.gov.gr/ipiresies/epikheirematike-drasterioteta/adeiodoteseis-kai-summorphose/summetokhe-katalumaton-sten-agrotike-estia","Συμμετοχή καταλυμάτων στην Αγροτική Εστία")</f>
        <v>Συμμετοχή καταλυμάτων στην Αγροτική Εστία</v>
      </c>
      <c r="E568" t="s">
        <v>87</v>
      </c>
    </row>
    <row r="569" spans="1:5" x14ac:dyDescent="0.25">
      <c r="A569">
        <v>15522</v>
      </c>
      <c r="B569" t="s">
        <v>5</v>
      </c>
      <c r="C569" t="s">
        <v>23</v>
      </c>
      <c r="D569" t="str">
        <f>HYPERLINK("Https://www.gov.gr/ipiresies/epikheirematike-drasterioteta/adeiodoteseis-kai-summorphose/summetokhe-kataskenoseon-sten-agrotike-estia","Συμμετοχή κατασκηνώσεων στην Αγροτική Εστία")</f>
        <v>Συμμετοχή κατασκηνώσεων στην Αγροτική Εστία</v>
      </c>
      <c r="E569" t="s">
        <v>87</v>
      </c>
    </row>
    <row r="570" spans="1:5" x14ac:dyDescent="0.25">
      <c r="A570">
        <v>15523</v>
      </c>
      <c r="B570" t="s">
        <v>5</v>
      </c>
      <c r="C570" t="s">
        <v>23</v>
      </c>
      <c r="D570" t="str">
        <f>HYPERLINK("Https://www.gov.gr/ipiresies/epikheirematike-drasterioteta/adeiodoteseis-kai-summorphose/summetokhe-touristikon-grapheion-sten-agrotike-estia","Συμμετοχή τουριστικών γραφείων στην Αγροτική Εστία")</f>
        <v>Συμμετοχή τουριστικών γραφείων στην Αγροτική Εστία</v>
      </c>
      <c r="E570" t="s">
        <v>87</v>
      </c>
    </row>
    <row r="571" spans="1:5" x14ac:dyDescent="0.25">
      <c r="A571">
        <v>15499</v>
      </c>
      <c r="B571" t="s">
        <v>5</v>
      </c>
      <c r="C571" t="s">
        <v>23</v>
      </c>
      <c r="D571" t="str">
        <f>HYPERLINK("Https://www.gov.gr/ipiresies/epikheirematike-drasterioteta/adeiodoteseis-kai-summorphose/sustema-diakheirises-petrelaiou-thermanses","Σύστημα διαχείρισης πετρελαίου θέρμανσης")</f>
        <v>Σύστημα διαχείρισης πετρελαίου θέρμανσης</v>
      </c>
      <c r="E571" t="s">
        <v>59</v>
      </c>
    </row>
    <row r="572" spans="1:5" x14ac:dyDescent="0.25">
      <c r="A572">
        <v>16514</v>
      </c>
      <c r="B572" t="s">
        <v>5</v>
      </c>
      <c r="C572" t="s">
        <v>23</v>
      </c>
      <c r="D572" t="str">
        <f>HYPERLINK("Https://www.gov.gr/ipiresies/epikheirematike-drasterioteta/adeiodoteseis-kai-summorphose/skhole-ekpaideuses-upopsephion-kheiriston-takhuploon-skaphon","Σχολή εκπαίδευσης υποψηφίων χειριστών ταχύπλοων σκαφών")</f>
        <v>Σχολή εκπαίδευσης υποψηφίων χειριστών ταχύπλοων σκαφών</v>
      </c>
      <c r="E572" t="s">
        <v>37</v>
      </c>
    </row>
    <row r="573" spans="1:5" x14ac:dyDescent="0.25">
      <c r="A573">
        <v>16146</v>
      </c>
      <c r="B573" t="s">
        <v>5</v>
      </c>
      <c r="C573" t="s">
        <v>23</v>
      </c>
      <c r="D573" t="str">
        <f>HYPERLINK("Https://www.gov.gr/ipiresies/epikheirematike-drasterioteta/adeiodoteseis-kai-summorphose/tainies-elegkhou-gia-ten-emphialose-oinon-prostateuomenes-onomasias-proeleuses-pop","Ταινίες ελέγχου για την εμφιάλωση οίνων Προστατευόμενης Ονομασίας Προέλευσης (ΠΟΠ)")</f>
        <v>Ταινίες ελέγχου για την εμφιάλωση οίνων Προστατευόμενης Ονομασίας Προέλευσης (ΠΟΠ)</v>
      </c>
      <c r="E573" t="s">
        <v>31</v>
      </c>
    </row>
    <row r="574" spans="1:5" x14ac:dyDescent="0.25">
      <c r="A574">
        <v>16683</v>
      </c>
      <c r="B574" t="s">
        <v>5</v>
      </c>
      <c r="C574" t="s">
        <v>23</v>
      </c>
      <c r="D574" t="str">
        <f>HYPERLINK("Https://www.gov.gr/ipiresies/epikheirematike-drasterioteta/adeiodoteseis-kai-summorphose/upagoge-ergon-drasterioteton-se-protupes-periballontikes-desmeuseis","Υπαγωγή έργων / δραστηριοτήτων σε πρότυπες περιβαλλοντικές δεσμεύσεις")</f>
        <v>Υπαγωγή έργων / δραστηριοτήτων σε πρότυπες περιβαλλοντικές δεσμεύσεις</v>
      </c>
      <c r="E574" t="s">
        <v>31</v>
      </c>
    </row>
    <row r="575" spans="1:5" x14ac:dyDescent="0.25">
      <c r="A575">
        <v>16502</v>
      </c>
      <c r="B575" t="s">
        <v>5</v>
      </c>
      <c r="C575" t="s">
        <v>23</v>
      </c>
      <c r="D575" t="str">
        <f>HYPERLINK("Https://www.gov.gr/ipiresies/epikheirematike-drasterioteta/adeiodoteseis-kai-summorphose/upobole-gas-free-entupou-anatheses-kathekonton-neou-parakhoreteriou-graptes-ektimeses-kindunou","Υποβολή GAS - FREE / εντύπου ανάθεσης καθηκόντων / νέου παραχωρητηρίου / γραπτής εκτίμησης κινδύνου")</f>
        <v>Υποβολή GAS - FREE / εντύπου ανάθεσης καθηκόντων / νέου παραχωρητηρίου / γραπτής εκτίμησης κινδύνου</v>
      </c>
      <c r="E575" t="s">
        <v>37</v>
      </c>
    </row>
    <row r="576" spans="1:5" x14ac:dyDescent="0.25">
      <c r="A576">
        <v>15973</v>
      </c>
      <c r="B576" t="s">
        <v>5</v>
      </c>
      <c r="C576" t="s">
        <v>23</v>
      </c>
      <c r="D576" t="str">
        <f>HYPERLINK("Https://www.gov.gr/ipiresies/epikheirematike-drasterioteta/adeiodoteseis-kai-summorphose/khoregese-ananeose-exousiodoteses-gia-ekdose-kartas-kausaerion","Χορήγηση / ανανέωση εξουσιοδότησης για έκδοση κάρτας καυσαερίων")</f>
        <v>Χορήγηση / ανανέωση εξουσιοδότησης για έκδοση κάρτας καυσαερίων</v>
      </c>
      <c r="E576" t="s">
        <v>31</v>
      </c>
    </row>
    <row r="577" spans="1:5" x14ac:dyDescent="0.25">
      <c r="A577">
        <v>15976</v>
      </c>
      <c r="B577" t="s">
        <v>5</v>
      </c>
      <c r="C577" t="s">
        <v>23</v>
      </c>
      <c r="D577" t="str">
        <f>HYPERLINK("Https://www.gov.gr/ipiresies/epikheirematike-drasterioteta/adeiodoteseis-kai-summorphose/khoregese-ananeose-exousiodoteses-kartas-elegkhou-kausaerion-petrelaiokineta-autokineta","Χορήγηση / ανανέωση εξουσιοδότησης κάρτας ελέγχου καυσαερίων (πετρελαιοκίνητα αυτοκίνητα)")</f>
        <v>Χορήγηση / ανανέωση εξουσιοδότησης κάρτας ελέγχου καυσαερίων (πετρελαιοκίνητα αυτοκίνητα)</v>
      </c>
      <c r="E577" t="s">
        <v>31</v>
      </c>
    </row>
    <row r="578" spans="1:5" x14ac:dyDescent="0.25">
      <c r="A578">
        <v>16684</v>
      </c>
      <c r="B578" t="s">
        <v>5</v>
      </c>
      <c r="C578" t="s">
        <v>23</v>
      </c>
      <c r="D578" t="str">
        <f>HYPERLINK("Https://www.gov.gr/ipiresies/epikheirematike-drasterioteta/adeiodoteseis-kai-summorphose/khoregese-antigraphon-eggraphon-apo-upotheseis-periballontos-kai-klimatikes-allages","Χορήγηση αντιγράφων εγγράφων από υποθέσεις περιβάλλοντος και κλιματικής αλλαγής")</f>
        <v>Χορήγηση αντιγράφων εγγράφων από υποθέσεις περιβάλλοντος και κλιματικής αλλαγής</v>
      </c>
      <c r="E578" t="s">
        <v>31</v>
      </c>
    </row>
    <row r="579" spans="1:5" x14ac:dyDescent="0.25">
      <c r="A579">
        <v>15979</v>
      </c>
      <c r="B579" t="s">
        <v>5</v>
      </c>
      <c r="C579" t="s">
        <v>23</v>
      </c>
      <c r="D579" t="str">
        <f>HYPERLINK("Https://www.gov.gr/ipiresies/epikheirematike-drasterioteta/adeiodoteseis-kai-summorphose/khoregese-eidikou-diakritikou-kleses","Χορήγηση ειδικού διακριτικού κλήσης")</f>
        <v>Χορήγηση ειδικού διακριτικού κλήσης</v>
      </c>
      <c r="E579" t="s">
        <v>31</v>
      </c>
    </row>
    <row r="580" spans="1:5" x14ac:dyDescent="0.25">
      <c r="A580">
        <v>16449</v>
      </c>
      <c r="B580" t="s">
        <v>5</v>
      </c>
      <c r="C580" t="s">
        <v>23</v>
      </c>
      <c r="D580" t="str">
        <f>HYPERLINK("Https://www.gov.gr/ipiresies/epikheirematike-drasterioteta/adeiodoteseis-kai-summorphose/khoregese-tes-listas-tou-arthrou-13-tes-apdpkh","Χορήγηση της λίστας του «άρθρου 13» της Αρχής Προστασίας Δεδομένων")</f>
        <v>Χορήγηση της λίστας του «άρθρου 13» της Αρχής Προστασίας Δεδομένων</v>
      </c>
      <c r="E580" t="s">
        <v>45</v>
      </c>
    </row>
    <row r="581" spans="1:5" x14ac:dyDescent="0.25">
      <c r="A581">
        <v>16780</v>
      </c>
      <c r="B581" t="s">
        <v>5</v>
      </c>
      <c r="C581" t="s">
        <v>23</v>
      </c>
      <c r="D581" t="str">
        <f>HYPERLINK("Https://www.gov.gr/ipiresies/epikheirematike-drasterioteta/adeiodoteseis-kai-summorphose/psephiake-bebaiose-upeuthunes-deloses-elektrologou-egkatastate","Ψηφιακή υπεύθυνη δήλωση εγκαταστάτη (ΥΔΕ)")</f>
        <v>Ψηφιακή υπεύθυνη δήλωση εγκαταστάτη (ΥΔΕ)</v>
      </c>
      <c r="E581" t="s">
        <v>190</v>
      </c>
    </row>
    <row r="582" spans="1:5" x14ac:dyDescent="0.25">
      <c r="A582">
        <v>15316</v>
      </c>
      <c r="B582" t="s">
        <v>5</v>
      </c>
      <c r="C582" t="s">
        <v>169</v>
      </c>
      <c r="D582" t="str">
        <f>HYPERLINK("Https://www.gov.gr/ipiresies/epikheirematike-drasterioteta/akinete-periousia-epikheireseon/eidikos-phoros-akineton-epha","Ειδικός Φόρος Ακινήτων (ΕΦΑ)")</f>
        <v>Ειδικός Φόρος Ακινήτων (ΕΦΑ)</v>
      </c>
      <c r="E582" t="s">
        <v>59</v>
      </c>
    </row>
    <row r="583" spans="1:5" x14ac:dyDescent="0.25">
      <c r="A583">
        <v>15550</v>
      </c>
      <c r="B583" t="s">
        <v>5</v>
      </c>
      <c r="C583" t="s">
        <v>169</v>
      </c>
      <c r="D583" t="str">
        <f>HYPERLINK("Https://www.gov.gr/ipiresies/epikheirematike-drasterioteta/akinete-periousia-epikheireseon/phoros-uperaxias-akineton","Φόρος Υπεραξίας Ακινήτων")</f>
        <v>Φόρος Υπεραξίας Ακινήτων</v>
      </c>
      <c r="E583" t="s">
        <v>59</v>
      </c>
    </row>
    <row r="584" spans="1:5" x14ac:dyDescent="0.25">
      <c r="A584">
        <v>16688</v>
      </c>
      <c r="B584" t="s">
        <v>5</v>
      </c>
      <c r="C584" t="s">
        <v>50</v>
      </c>
      <c r="D584" t="str">
        <f>HYPERLINK("Https://www.gov.gr/ipiresies/epikheirematike-drasterioteta/apaskholese-prosopikou/aitese-gia-adeia-ergasias-prosopikou-se-kuriake-e-argia","Αίτηση για άδεια εργασίας προσωπικού σε Κυριακή ή αργία")</f>
        <v>Αίτηση για άδεια εργασίας προσωπικού σε Κυριακή ή αργία</v>
      </c>
      <c r="E584" t="s">
        <v>51</v>
      </c>
    </row>
    <row r="585" spans="1:5" x14ac:dyDescent="0.25">
      <c r="A585">
        <v>15204</v>
      </c>
      <c r="B585" t="s">
        <v>5</v>
      </c>
      <c r="C585" t="s">
        <v>50</v>
      </c>
      <c r="D585" t="str">
        <f>HYPERLINK("Https://www.gov.gr/ipiresies/epikheirematike-drasterioteta/apaskholese-prosopikou/amphisbetese-opheiles","Αμφισβήτηση οφειλής")</f>
        <v>Αμφισβήτηση οφειλής</v>
      </c>
      <c r="E585" t="s">
        <v>44</v>
      </c>
    </row>
    <row r="586" spans="1:5" x14ac:dyDescent="0.25">
      <c r="A586">
        <v>16694</v>
      </c>
      <c r="B586" t="s">
        <v>5</v>
      </c>
      <c r="C586" t="s">
        <v>50</v>
      </c>
      <c r="D586" t="str">
        <f>HYPERLINK("Https://www.gov.gr/ipiresies/epikheirematike-drasterioteta/apaskholese-prosopikou/anaggelia-iatrou-ergasias","Αναγγελία Ιατρού Εργασίας")</f>
        <v>Αναγγελία Ιατρού Εργασίας</v>
      </c>
      <c r="E586" t="s">
        <v>51</v>
      </c>
    </row>
    <row r="587" spans="1:5" x14ac:dyDescent="0.25">
      <c r="A587">
        <v>16696</v>
      </c>
      <c r="B587" t="s">
        <v>5</v>
      </c>
      <c r="C587" t="s">
        <v>50</v>
      </c>
      <c r="D587" t="str">
        <f>HYPERLINK("Https://www.gov.gr/ipiresies/epikheirematike-drasterioteta/apaskholese-prosopikou/anaggelia-tekhnikou-asphaleias","Αναγγελία Τεχνικού Ασφαλείας")</f>
        <v>Αναγγελία Τεχνικού Ασφαλείας</v>
      </c>
      <c r="E587" t="s">
        <v>51</v>
      </c>
    </row>
    <row r="588" spans="1:5" x14ac:dyDescent="0.25">
      <c r="A588">
        <v>16784</v>
      </c>
      <c r="B588" t="s">
        <v>5</v>
      </c>
      <c r="C588" t="s">
        <v>50</v>
      </c>
      <c r="D588" t="str">
        <f>HYPERLINK("Https://www.gov.gr/ipiresies/epikheirematike-drasterioteta/apaskholese-prosopikou/anaggelia-tekhnikou-asphaleias-se-naupegoepiskeuastikes-ergasies","Αναγγελία Τεχνικού Ασφαλείας σε Ναυπηγοεπισκευαστικές Εργασίες")</f>
        <v>Αναγγελία Τεχνικού Ασφαλείας σε Ναυπηγοεπισκευαστικές Εργασίες</v>
      </c>
      <c r="E588" t="s">
        <v>51</v>
      </c>
    </row>
    <row r="589" spans="1:5" x14ac:dyDescent="0.25">
      <c r="A589">
        <v>15239</v>
      </c>
      <c r="B589" t="s">
        <v>5</v>
      </c>
      <c r="C589" t="s">
        <v>50</v>
      </c>
      <c r="D589" t="str">
        <f>HYPERLINK("Https://www.gov.gr/ipiresies/epikheirematike-drasterioteta/apaskholese-prosopikou/asphalistike-enemeroteta-phusikon-nomikon-prosopon-eephka","Ασφαλιστική ενημερότητα φυσικών / νομικών προσώπων (eΕΦΚΑ)")</f>
        <v>Ασφαλιστική ενημερότητα φυσικών / νομικών προσώπων (eΕΦΚΑ)</v>
      </c>
      <c r="E589" t="s">
        <v>44</v>
      </c>
    </row>
    <row r="590" spans="1:5" x14ac:dyDescent="0.25">
      <c r="A590">
        <v>15586</v>
      </c>
      <c r="B590" t="s">
        <v>5</v>
      </c>
      <c r="C590" t="s">
        <v>50</v>
      </c>
      <c r="D590" t="str">
        <f>HYPERLINK("Https://www.gov.gr/ipiresies/epikheirematike-drasterioteta/apaskholese-prosopikou/delose-ergazomenon-gia-ten-antimetopise-tou-covid-19","Δήλωση εργαζομένων για την αντιμετώπιση του Covid-19")</f>
        <v>Δήλωση εργαζομένων για την αντιμετώπιση του Covid-19</v>
      </c>
      <c r="E590" t="s">
        <v>20</v>
      </c>
    </row>
    <row r="591" spans="1:5" x14ac:dyDescent="0.25">
      <c r="A591">
        <v>15584</v>
      </c>
      <c r="B591" t="s">
        <v>5</v>
      </c>
      <c r="C591" t="s">
        <v>50</v>
      </c>
      <c r="D591" t="str">
        <f>HYPERLINK("Https://www.gov.gr/ipiresies/epikheirematike-drasterioteta/apaskholese-prosopikou/delose-ergodoton-gia-ten-antimetopise-tou-covid-19","Δήλωση εργοδοτών για την αντιμετώπιση του Covid-19")</f>
        <v>Δήλωση εργοδοτών για την αντιμετώπιση του Covid-19</v>
      </c>
      <c r="E591" t="s">
        <v>20</v>
      </c>
    </row>
    <row r="592" spans="1:5" x14ac:dyDescent="0.25">
      <c r="A592">
        <v>15295</v>
      </c>
      <c r="B592" t="s">
        <v>5</v>
      </c>
      <c r="C592" t="s">
        <v>50</v>
      </c>
      <c r="D592" t="str">
        <f>HYPERLINK("Https://www.gov.gr/ipiresies/epikheirematike-drasterioteta/apaskholese-prosopikou/diakheirise-sumbaseon-apo-tis-opoies-prokuptei-upokhreose-ekdoses-dpu","Διαχείριση συμβάσεων από τις οποίες προκύπτει υποχρέωση έκδοσης ΔΠΥ")</f>
        <v>Διαχείριση συμβάσεων από τις οποίες προκύπτει υποχρέωση έκδοσης ΔΠΥ</v>
      </c>
      <c r="E592" t="s">
        <v>44</v>
      </c>
    </row>
    <row r="593" spans="1:5" x14ac:dyDescent="0.25">
      <c r="A593">
        <v>16772</v>
      </c>
      <c r="B593" t="s">
        <v>5</v>
      </c>
      <c r="C593" t="s">
        <v>50</v>
      </c>
      <c r="D593" t="str">
        <f>HYPERLINK("Https://www.gov.gr/ipiresies/epikheirematike-drasterioteta/apaskholese-prosopikou/eisphores-artopoion","Εισφορές αρτοποιών")</f>
        <v>Εισφορές αρτοποιών</v>
      </c>
      <c r="E593" t="s">
        <v>44</v>
      </c>
    </row>
    <row r="594" spans="1:5" x14ac:dyDescent="0.25">
      <c r="A594">
        <v>16771</v>
      </c>
      <c r="B594" t="s">
        <v>5</v>
      </c>
      <c r="C594" t="s">
        <v>50</v>
      </c>
      <c r="D594" t="str">
        <f>HYPERLINK("Https://www.gov.gr/ipiresies/epikheirematike-drasterioteta/apaskholese-prosopikou/eisphores-benzinopolon","Εισφορές βενζινοπωλών")</f>
        <v>Εισφορές βενζινοπωλών</v>
      </c>
      <c r="E594" t="s">
        <v>44</v>
      </c>
    </row>
    <row r="595" spans="1:5" x14ac:dyDescent="0.25">
      <c r="A595">
        <v>16701</v>
      </c>
      <c r="B595" t="s">
        <v>5</v>
      </c>
      <c r="C595" t="s">
        <v>50</v>
      </c>
      <c r="D595" t="str">
        <f>HYPERLINK("Https://www.gov.gr/ipiresies/epikheirematike-drasterioteta/apaskholese-prosopikou/elegkhos-upagoges-ergazomenou-sto-tameio-epikourikes-kephalaiopoietikes-asphalises-teka","Έλεγχος υπαγωγής εργαζόμενου στο Ταμείο Επικουρικής Κεφαλαιοποιητικής Ασφάλισης (ΤΕΚΑ)")</f>
        <v>Έλεγχος υπαγωγής εργαζόμενου στο Ταμείο Επικουρικής Κεφαλαιοποιητικής Ασφάλισης (ΤΕΚΑ)</v>
      </c>
      <c r="E595" t="s">
        <v>173</v>
      </c>
    </row>
    <row r="596" spans="1:5" x14ac:dyDescent="0.25">
      <c r="A596">
        <v>16605</v>
      </c>
      <c r="B596" t="s">
        <v>5</v>
      </c>
      <c r="C596" t="s">
        <v>50</v>
      </c>
      <c r="D596" t="str">
        <f>HYPERLINK("Https://www.gov.gr/ipiresies/epikheirematike-drasterioteta/apaskholese-prosopikou/epibebaiose-ergodote-gia-to-epidoma-metrotetas","Επιβεβαίωση εργοδότη για το επίδομα μητρότητας")</f>
        <v>Επιβεβαίωση εργοδότη για το επίδομα μητρότητας</v>
      </c>
      <c r="E596" t="s">
        <v>44</v>
      </c>
    </row>
    <row r="597" spans="1:5" x14ac:dyDescent="0.25">
      <c r="A597">
        <v>15382</v>
      </c>
      <c r="B597" t="s">
        <v>5</v>
      </c>
      <c r="C597" t="s">
        <v>50</v>
      </c>
      <c r="D597" t="str">
        <f>HYPERLINK("Https://www.gov.gr/ipiresies/epikheirematike-drasterioteta/apaskholese-prosopikou/elektronike-enemerose-opheileton","Ηλεκτρονική ενημέρωση οφειλετών")</f>
        <v>Ηλεκτρονική ενημέρωση οφειλετών</v>
      </c>
      <c r="E597" t="s">
        <v>44</v>
      </c>
    </row>
    <row r="598" spans="1:5" x14ac:dyDescent="0.25">
      <c r="A598">
        <v>15383</v>
      </c>
      <c r="B598" t="s">
        <v>5</v>
      </c>
      <c r="C598" t="s">
        <v>50</v>
      </c>
      <c r="D598" t="str">
        <f>HYPERLINK("Https://www.gov.gr/ipiresies/epikheirematike-drasterioteta/apaskholese-prosopikou/elektronike-kartela-opheilete","Ηλεκτρονική καρτέλα οφειλέτη")</f>
        <v>Ηλεκτρονική καρτέλα οφειλέτη</v>
      </c>
      <c r="E598" t="s">
        <v>44</v>
      </c>
    </row>
    <row r="599" spans="1:5" x14ac:dyDescent="0.25">
      <c r="A599">
        <v>15389</v>
      </c>
      <c r="B599" t="s">
        <v>5</v>
      </c>
      <c r="C599" t="s">
        <v>50</v>
      </c>
      <c r="D599" t="str">
        <f>HYPERLINK("Https://www.gov.gr/ipiresies/epikheirematike-drasterioteta/apaskholese-prosopikou/elektronike-upobole-apd-eephka","Ηλεκτρονική υποβολή ΑΠΔ eΕΦΚΑ")</f>
        <v>Ηλεκτρονική υποβολή ΑΠΔ eΕΦΚΑ</v>
      </c>
      <c r="E599" t="s">
        <v>44</v>
      </c>
    </row>
    <row r="600" spans="1:5" x14ac:dyDescent="0.25">
      <c r="A600">
        <v>16724</v>
      </c>
      <c r="B600" t="s">
        <v>5</v>
      </c>
      <c r="C600" t="s">
        <v>50</v>
      </c>
      <c r="D600" t="str">
        <f>HYPERLINK("Https://www.gov.gr/ipiresies/epikheirematike-drasterioteta/apaskholese-prosopikou/elektronike-upobole-apd-demosiou","Ηλεκτρονική Υποβολή ΑΠΔ Δημοσίου")</f>
        <v>Ηλεκτρονική Υποβολή ΑΠΔ Δημοσίου</v>
      </c>
      <c r="E600" t="s">
        <v>44</v>
      </c>
    </row>
    <row r="601" spans="1:5" x14ac:dyDescent="0.25">
      <c r="A601">
        <v>16723</v>
      </c>
      <c r="B601" t="s">
        <v>5</v>
      </c>
      <c r="C601" t="s">
        <v>50</v>
      </c>
      <c r="D601" t="str">
        <f>HYPERLINK("Https://www.gov.gr/ipiresies/epikheirematike-drasterioteta/apaskholese-prosopikou/apdteka","Ηλεκτρονική υποβολή ΑΠΔ ΤΕΚΑ")</f>
        <v>Ηλεκτρονική υποβολή ΑΠΔ ΤΕΚΑ</v>
      </c>
      <c r="E601" t="s">
        <v>173</v>
      </c>
    </row>
    <row r="602" spans="1:5" x14ac:dyDescent="0.25">
      <c r="A602">
        <v>15461</v>
      </c>
      <c r="B602" t="s">
        <v>5</v>
      </c>
      <c r="C602" t="s">
        <v>50</v>
      </c>
      <c r="D602" t="str">
        <f>HYPERLINK("Https://www.gov.gr/ipiresies/epikheirematike-drasterioteta/apaskholese-prosopikou/oikonomike-kartela-ergodote","Οικονομική καρτέλα εργοδότη eΕΦΚΑ")</f>
        <v>Οικονομική καρτέλα εργοδότη eΕΦΚΑ</v>
      </c>
      <c r="E602" t="s">
        <v>44</v>
      </c>
    </row>
    <row r="603" spans="1:5" x14ac:dyDescent="0.25">
      <c r="A603">
        <v>16825</v>
      </c>
      <c r="B603" t="s">
        <v>5</v>
      </c>
      <c r="C603" t="s">
        <v>50</v>
      </c>
      <c r="D603" t="str">
        <f>HYPERLINK("Https://www.gov.gr/ipiresies/epikheirematike-drasterioteta/apaskholese-prosopikou/oikonomike-kartela-ergodote-teka","Οικονομική καρτέλα εργοδότη ΤΕΚΑ")</f>
        <v>Οικονομική καρτέλα εργοδότη ΤΕΚΑ</v>
      </c>
      <c r="E603" t="s">
        <v>173</v>
      </c>
    </row>
    <row r="604" spans="1:5" x14ac:dyDescent="0.25">
      <c r="A604">
        <v>15473</v>
      </c>
      <c r="B604" t="s">
        <v>5</v>
      </c>
      <c r="C604" t="s">
        <v>50</v>
      </c>
      <c r="D604" t="str">
        <f>HYPERLINK("Https://www.gov.gr/ipiresies/epikheirematike-drasterioteta/apaskholese-prosopikou/pinakas-khreon-opheilete","Πίνακας χρεών οφειλέτη")</f>
        <v>Πίνακας χρεών οφειλέτη</v>
      </c>
      <c r="E604" t="s">
        <v>44</v>
      </c>
    </row>
    <row r="605" spans="1:5" x14ac:dyDescent="0.25">
      <c r="A605">
        <v>15475</v>
      </c>
      <c r="B605" t="s">
        <v>5</v>
      </c>
      <c r="C605" t="s">
        <v>50</v>
      </c>
      <c r="D605" t="str">
        <f>HYPERLINK("Https://www.gov.gr/ipiresies/epikheirematike-drasterioteta/apaskholese-prosopikou/pistopoiese-ergodoton","Πιστοποίηση εργοδοτών")</f>
        <v>Πιστοποίηση εργοδοτών</v>
      </c>
      <c r="E605" t="s">
        <v>44</v>
      </c>
    </row>
    <row r="606" spans="1:5" x14ac:dyDescent="0.25">
      <c r="A606">
        <v>15477</v>
      </c>
      <c r="B606" t="s">
        <v>5</v>
      </c>
      <c r="C606" t="s">
        <v>50</v>
      </c>
      <c r="D606" t="str">
        <f>HYPERLINK("Https://www.gov.gr/ipiresies/epikheirematike-drasterioteta/apaskholese-prosopikou/pistopoiese-opheileton","Πιστοποίηση οφειλετών")</f>
        <v>Πιστοποίηση οφειλετών</v>
      </c>
      <c r="E606" t="s">
        <v>44</v>
      </c>
    </row>
    <row r="607" spans="1:5" x14ac:dyDescent="0.25">
      <c r="A607">
        <v>15490</v>
      </c>
      <c r="B607" t="s">
        <v>5</v>
      </c>
      <c r="C607" t="s">
        <v>50</v>
      </c>
      <c r="D607" t="str">
        <f>HYPERLINK("Https://www.gov.gr/ipiresies/epikheirematike-drasterioteta/apaskholese-prosopikou/ruthmise-opheilon-pros-elektronikou-ethnikou-phorea-koinonikes-asphalises-eephka","Ρύθμιση οφειλών προς Ηλεκτρονικού Εθνικού Φορέα Κοινωνικής Ασφάλισης (eΕΦΚΑ)")</f>
        <v>Ρύθμιση οφειλών προς Ηλεκτρονικού Εθνικού Φορέα Κοινωνικής Ασφάλισης (eΕΦΚΑ)</v>
      </c>
      <c r="E607" t="s">
        <v>44</v>
      </c>
    </row>
    <row r="608" spans="1:5" x14ac:dyDescent="0.25">
      <c r="A608">
        <v>15489</v>
      </c>
      <c r="B608" t="s">
        <v>5</v>
      </c>
      <c r="C608" t="s">
        <v>50</v>
      </c>
      <c r="D608" t="str">
        <f>HYPERLINK("Https://www.gov.gr/ipiresies/epikheirematike-drasterioteta/apaskholese-prosopikou/ruthmise-opheilon-pros-kentro-eispraxes-aneisprakton-opheilon-keao","Ρύθμιση οφειλών προς Κέντρο Είσπραξης Ανείσπρακτων Οφειλών (ΚΕΑΟ)")</f>
        <v>Ρύθμιση οφειλών προς Κέντρο Είσπραξης Ανείσπρακτων Οφειλών (ΚΕΑΟ)</v>
      </c>
      <c r="E608" t="s">
        <v>44</v>
      </c>
    </row>
    <row r="609" spans="1:5" x14ac:dyDescent="0.25">
      <c r="A609">
        <v>15896</v>
      </c>
      <c r="B609" t="s">
        <v>5</v>
      </c>
      <c r="C609" t="s">
        <v>50</v>
      </c>
      <c r="D609" t="str">
        <f>HYPERLINK("Https://www.gov.gr/ipiresies/epikheirematike-drasterioteta/apaskholese-prosopikou/sumbouleutikes-uperesies-pros-epikheireseis-oaed","Συμβουλευτικές υπηρεσίες προς επιχειρήσεις (ΔΥΠΑ)")</f>
        <v>Συμβουλευτικές υπηρεσίες προς επιχειρήσεις (ΔΥΠΑ)</v>
      </c>
      <c r="E609" t="s">
        <v>66</v>
      </c>
    </row>
    <row r="610" spans="1:5" x14ac:dyDescent="0.25">
      <c r="A610">
        <v>15542</v>
      </c>
      <c r="B610" t="s">
        <v>5</v>
      </c>
      <c r="C610" t="s">
        <v>50</v>
      </c>
      <c r="D610" t="str">
        <f>HYPERLINK("Https://www.gov.gr/ipiresies/epikheirematike-drasterioteta/apaskholese-prosopikou/upologismos-doseon-ruthmises","Υπολογισμός δόσεων ρύθμισης")</f>
        <v>Υπολογισμός δόσεων ρύθμισης</v>
      </c>
      <c r="E610" t="s">
        <v>44</v>
      </c>
    </row>
    <row r="611" spans="1:5" x14ac:dyDescent="0.25">
      <c r="A611">
        <v>16284</v>
      </c>
      <c r="B611" t="s">
        <v>5</v>
      </c>
      <c r="C611" t="s">
        <v>138</v>
      </c>
      <c r="D611" t="str">
        <f>HYPERLINK("Https://www.gov.gr/ipiresies/epikheirematike-drasterioteta/biomekhanike-idioktesia/bebaiose-biomekhanikon-skhedion","Βεβαίωση βιομηχανικών σχεδίων")</f>
        <v>Βεβαίωση βιομηχανικών σχεδίων</v>
      </c>
      <c r="E611" t="s">
        <v>107</v>
      </c>
    </row>
    <row r="612" spans="1:5" x14ac:dyDescent="0.25">
      <c r="A612">
        <v>16283</v>
      </c>
      <c r="B612" t="s">
        <v>5</v>
      </c>
      <c r="C612" t="s">
        <v>138</v>
      </c>
      <c r="D612" t="str">
        <f>HYPERLINK("Https://www.gov.gr/ipiresies/epikheirematike-drasterioteta/biomekhanike-idioktesia/bebaiose-diplomatos-euresitekhnias","Βεβαίωση διπλώματος ευρεσιτεχνίας")</f>
        <v>Βεβαίωση διπλώματος ευρεσιτεχνίας</v>
      </c>
      <c r="E612" t="s">
        <v>107</v>
      </c>
    </row>
    <row r="613" spans="1:5" x14ac:dyDescent="0.25">
      <c r="A613">
        <v>16285</v>
      </c>
      <c r="B613" t="s">
        <v>5</v>
      </c>
      <c r="C613" t="s">
        <v>138</v>
      </c>
      <c r="D613" t="str">
        <f>HYPERLINK("Https://www.gov.gr/ipiresies/epikheirematike-drasterioteta/biomekhanike-idioktesia/bebaiose-diplomatos-tropopoieses","Βεβαίωση διπλώματος τροποποίησης")</f>
        <v>Βεβαίωση διπλώματος τροποποίησης</v>
      </c>
      <c r="E613" t="s">
        <v>107</v>
      </c>
    </row>
    <row r="614" spans="1:5" x14ac:dyDescent="0.25">
      <c r="A614">
        <v>16286</v>
      </c>
      <c r="B614" t="s">
        <v>5</v>
      </c>
      <c r="C614" t="s">
        <v>138</v>
      </c>
      <c r="D614" t="str">
        <f>HYPERLINK("Https://www.gov.gr/ipiresies/epikheirematike-drasterioteta/biomekhanike-idioktesia/bebaiose-katatheses-metaphrases-axioseon-europaikes-aiteses","Βεβαίωση κατάθεσης μετάφρασης αξιώσεων ευρωπαϊκής αίτησης")</f>
        <v>Βεβαίωση κατάθεσης μετάφρασης αξιώσεων ευρωπαϊκής αίτησης</v>
      </c>
      <c r="E614" t="s">
        <v>107</v>
      </c>
    </row>
    <row r="615" spans="1:5" x14ac:dyDescent="0.25">
      <c r="A615">
        <v>16287</v>
      </c>
      <c r="B615" t="s">
        <v>5</v>
      </c>
      <c r="C615" t="s">
        <v>138</v>
      </c>
      <c r="D615" t="str">
        <f>HYPERLINK("Https://www.gov.gr/ipiresies/epikheirematike-drasterioteta/biomekhanike-idioktesia/bebaiose-katatheses-metaphrases-europaikou-diplomatos-euresitekhnias","Βεβαίωση κατάθεσης μετάφρασης ευρωπαϊκού διπλώματος ευρεσιτεχνίας")</f>
        <v>Βεβαίωση κατάθεσης μετάφρασης ευρωπαϊκού διπλώματος ευρεσιτεχνίας</v>
      </c>
      <c r="E615" t="s">
        <v>107</v>
      </c>
    </row>
    <row r="616" spans="1:5" x14ac:dyDescent="0.25">
      <c r="A616">
        <v>16288</v>
      </c>
      <c r="B616" t="s">
        <v>5</v>
      </c>
      <c r="C616" t="s">
        <v>138</v>
      </c>
      <c r="D616" t="str">
        <f>HYPERLINK("Https://www.gov.gr/ipiresies/epikheirematike-drasterioteta/biomekhanike-idioktesia/bebaiose-katatheses-metaphrases-periorismenou-e-anaklethentos-europaikou-diplomatos","Βεβαίωση κατάθεσης μετάφρασης περιορισμένου ή ανακληθέντος ευρωπαϊκού διπλώματος")</f>
        <v>Βεβαίωση κατάθεσης μετάφρασης περιορισμένου ή ανακληθέντος ευρωπαϊκού διπλώματος</v>
      </c>
      <c r="E616" t="s">
        <v>107</v>
      </c>
    </row>
    <row r="617" spans="1:5" x14ac:dyDescent="0.25">
      <c r="A617">
        <v>16289</v>
      </c>
      <c r="B617" t="s">
        <v>5</v>
      </c>
      <c r="C617" t="s">
        <v>138</v>
      </c>
      <c r="D617" t="str">
        <f>HYPERLINK("Https://www.gov.gr/ipiresies/epikheirematike-drasterioteta/biomekhanike-idioktesia/bebaiose-katatheses-metaphrases-tropopoiemenou-europaikou-diplomatos","Βεβαίωση κατάθεσης μετάφρασης τροποποιημένου ευρωπαϊκού διπλώματος")</f>
        <v>Βεβαίωση κατάθεσης μετάφρασης τροποποιημένου ευρωπαϊκού διπλώματος</v>
      </c>
      <c r="E617" t="s">
        <v>107</v>
      </c>
    </row>
    <row r="618" spans="1:5" x14ac:dyDescent="0.25">
      <c r="A618">
        <v>16290</v>
      </c>
      <c r="B618" t="s">
        <v>5</v>
      </c>
      <c r="C618" t="s">
        <v>138</v>
      </c>
      <c r="D618" t="str">
        <f>HYPERLINK("Https://www.gov.gr/ipiresies/epikheirematike-drasterioteta/biomekhanike-idioktesia/bebaiose-pistopoietikou-upodeigmatos-khresimotetas","Βεβαίωση πιστοποιητικού υποδείγματος χρησιμότητας")</f>
        <v>Βεβαίωση πιστοποιητικού υποδείγματος χρησιμότητας</v>
      </c>
      <c r="E618" t="s">
        <v>107</v>
      </c>
    </row>
    <row r="619" spans="1:5" x14ac:dyDescent="0.25">
      <c r="A619">
        <v>16291</v>
      </c>
      <c r="B619" t="s">
        <v>5</v>
      </c>
      <c r="C619" t="s">
        <v>138</v>
      </c>
      <c r="D619" t="str">
        <f>HYPERLINK("Https://www.gov.gr/ipiresies/epikheirematike-drasterioteta/biomekhanike-idioktesia/bebaiose-sumbases-metaphoras-tekhnologias","Βεβαίωση σύμβασης μεταφοράς τεχνολογίας")</f>
        <v>Βεβαίωση σύμβασης μεταφοράς τεχνολογίας</v>
      </c>
      <c r="E619" t="s">
        <v>107</v>
      </c>
    </row>
    <row r="620" spans="1:5" x14ac:dyDescent="0.25">
      <c r="A620">
        <v>16294</v>
      </c>
      <c r="B620" t="s">
        <v>5</v>
      </c>
      <c r="C620" t="s">
        <v>138</v>
      </c>
      <c r="D620" t="str">
        <f>HYPERLINK("Https://www.gov.gr/ipiresies/epikheirematike-drasterioteta/biomekhanike-idioktesia/bebaiose-sumpleromatikou-pistopoietikou-prostasias-paidiatrikou-pharmakou","Βεβαίωση συμπληρωματικού πιστοποιητικού προστασίας παιδιατρικού φαρμάκου")</f>
        <v>Βεβαίωση συμπληρωματικού πιστοποιητικού προστασίας παιδιατρικού φαρμάκου</v>
      </c>
      <c r="E620" t="s">
        <v>107</v>
      </c>
    </row>
    <row r="621" spans="1:5" x14ac:dyDescent="0.25">
      <c r="A621">
        <v>16292</v>
      </c>
      <c r="B621" t="s">
        <v>5</v>
      </c>
      <c r="C621" t="s">
        <v>138</v>
      </c>
      <c r="D621" t="str">
        <f>HYPERLINK("Https://www.gov.gr/ipiresies/epikheirematike-drasterioteta/biomekhanike-idioktesia/bebaiose-sumpleromatikou-pistopoietikou-prostasias-pharmakou","Βεβαίωση συμπληρωματικού πιστοποιητικού προστασίας φαρμάκου")</f>
        <v>Βεβαίωση συμπληρωματικού πιστοποιητικού προστασίας φαρμάκου</v>
      </c>
      <c r="E621" t="s">
        <v>107</v>
      </c>
    </row>
    <row r="622" spans="1:5" x14ac:dyDescent="0.25">
      <c r="A622">
        <v>16293</v>
      </c>
      <c r="B622" t="s">
        <v>5</v>
      </c>
      <c r="C622" t="s">
        <v>138</v>
      </c>
      <c r="D622" t="str">
        <f>HYPERLINK("Https://www.gov.gr/ipiresies/epikheirematike-drasterioteta/biomekhanike-idioktesia/bebaiose-sumpleromatikou-pistopoietikou-prostasias-phutoprostateutikou-proiontos","Βεβαίωση συμπληρωματικού πιστοποιητικού προστασίας φυτοπροστατευτικού προϊόντος")</f>
        <v>Βεβαίωση συμπληρωματικού πιστοποιητικού προστασίας φυτοπροστατευτικού προϊόντος</v>
      </c>
      <c r="E622" t="s">
        <v>107</v>
      </c>
    </row>
    <row r="623" spans="1:5" x14ac:dyDescent="0.25">
      <c r="A623">
        <v>16295</v>
      </c>
      <c r="B623" t="s">
        <v>5</v>
      </c>
      <c r="C623" t="s">
        <v>138</v>
      </c>
      <c r="D623" t="str">
        <f>HYPERLINK("Https://www.gov.gr/ipiresies/epikheirematike-drasterioteta/biomekhanike-idioktesia/bebaiose-topographias-proionton-emiagogon","Βεβαίωση τοπογραφίας προϊόντων ημιαγωγών")</f>
        <v>Βεβαίωση τοπογραφίας προϊόντων ημιαγωγών</v>
      </c>
      <c r="E623" t="s">
        <v>107</v>
      </c>
    </row>
    <row r="624" spans="1:5" x14ac:dyDescent="0.25">
      <c r="A624">
        <v>16303</v>
      </c>
      <c r="B624" t="s">
        <v>5</v>
      </c>
      <c r="C624" t="s">
        <v>138</v>
      </c>
      <c r="D624" t="str">
        <f>HYPERLINK("Https://www.gov.gr/ipiresies/epikheirematike-drasterioteta/biomekhanike-idioktesia/biomekhanika-skhedia-e-upodeigmata","Βιομηχανικά σχέδια ή υποδείγματα")</f>
        <v>Βιομηχανικά σχέδια ή υποδείγματα</v>
      </c>
      <c r="E624" t="s">
        <v>107</v>
      </c>
    </row>
    <row r="625" spans="1:5" x14ac:dyDescent="0.25">
      <c r="A625">
        <v>16276</v>
      </c>
      <c r="B625" t="s">
        <v>5</v>
      </c>
      <c r="C625" t="s">
        <v>138</v>
      </c>
      <c r="D625" t="str">
        <f>HYPERLINK("Https://www.gov.gr/ipiresies/epikheirematike-drasterioteta/biomekhanike-idioktesia/diploma-euresitekhnias","Δίπλωμα ευρεσιτεχνίας")</f>
        <v>Δίπλωμα ευρεσιτεχνίας</v>
      </c>
      <c r="E625" t="s">
        <v>107</v>
      </c>
    </row>
    <row r="626" spans="1:5" x14ac:dyDescent="0.25">
      <c r="A626">
        <v>16277</v>
      </c>
      <c r="B626" t="s">
        <v>5</v>
      </c>
      <c r="C626" t="s">
        <v>138</v>
      </c>
      <c r="D626" t="str">
        <f>HYPERLINK("Https://www.gov.gr/ipiresies/epikheirematike-drasterioteta/biomekhanike-idioktesia/diploma-tropopoieses","Δίπλωμα τροποποίησης")</f>
        <v>Δίπλωμα τροποποίησης</v>
      </c>
      <c r="E626" t="s">
        <v>107</v>
      </c>
    </row>
    <row r="627" spans="1:5" x14ac:dyDescent="0.25">
      <c r="A627">
        <v>16314</v>
      </c>
      <c r="B627" t="s">
        <v>5</v>
      </c>
      <c r="C627" t="s">
        <v>138</v>
      </c>
      <c r="D627" t="str">
        <f>HYPERLINK("Https://www.gov.gr/ipiresies/epikheirematike-drasterioteta/biomekhanike-idioktesia/ethniko-metroo-titlon","Εθνικό μητρώο τίτλων")</f>
        <v>Εθνικό μητρώο τίτλων</v>
      </c>
      <c r="E627" t="s">
        <v>107</v>
      </c>
    </row>
    <row r="628" spans="1:5" x14ac:dyDescent="0.25">
      <c r="A628">
        <v>16282</v>
      </c>
      <c r="B628" t="s">
        <v>5</v>
      </c>
      <c r="C628" t="s">
        <v>138</v>
      </c>
      <c r="D628" t="str">
        <f>HYPERLINK("Https://www.gov.gr/ipiresies/epikheirematike-drasterioteta/biomekhanike-idioktesia/katathese-metaphrases-axioseon-europaikes-aiteses","Κατάθεση μετάφρασης αξιώσεων ευρωπαϊκής αίτησης")</f>
        <v>Κατάθεση μετάφρασης αξιώσεων ευρωπαϊκής αίτησης</v>
      </c>
      <c r="E628" t="s">
        <v>107</v>
      </c>
    </row>
    <row r="629" spans="1:5" x14ac:dyDescent="0.25">
      <c r="A629">
        <v>16279</v>
      </c>
      <c r="B629" t="s">
        <v>5</v>
      </c>
      <c r="C629" t="s">
        <v>138</v>
      </c>
      <c r="D629" t="str">
        <f>HYPERLINK("Https://www.gov.gr/ipiresies/epikheirematike-drasterioteta/biomekhanike-idioktesia/katathese-metaphrases-europaikou-diplomatos-euresitekhnias-b1","Κατάθεση μετάφρασης ευρωπαϊκού διπλώματος ευρεσιτεχνίας (B1)")</f>
        <v>Κατάθεση μετάφρασης ευρωπαϊκού διπλώματος ευρεσιτεχνίας (B1)</v>
      </c>
      <c r="E629" t="s">
        <v>107</v>
      </c>
    </row>
    <row r="630" spans="1:5" x14ac:dyDescent="0.25">
      <c r="A630">
        <v>16281</v>
      </c>
      <c r="B630" t="s">
        <v>5</v>
      </c>
      <c r="C630" t="s">
        <v>138</v>
      </c>
      <c r="D630" t="str">
        <f>HYPERLINK("Https://www.gov.gr/ipiresies/epikheirematike-drasterioteta/biomekhanike-idioktesia/katathese-metaphrases-periorismenou-e-anaklethentos-europaikou-diplomatos-euresitekhnias-b3","Κατάθεση μετάφρασης περιορισμένου ή ανακληθέντος ευρωπαϊκού διπλώματος ευρεσιτεχνίας (Β3)")</f>
        <v>Κατάθεση μετάφρασης περιορισμένου ή ανακληθέντος ευρωπαϊκού διπλώματος ευρεσιτεχνίας (Β3)</v>
      </c>
      <c r="E630" t="s">
        <v>107</v>
      </c>
    </row>
    <row r="631" spans="1:5" x14ac:dyDescent="0.25">
      <c r="A631">
        <v>16280</v>
      </c>
      <c r="B631" t="s">
        <v>5</v>
      </c>
      <c r="C631" t="s">
        <v>138</v>
      </c>
      <c r="D631" t="str">
        <f>HYPERLINK("Https://www.gov.gr/ipiresies/epikheirematike-drasterioteta/biomekhanike-idioktesia/katathese-metaphrases-tropopoiemenou-europaikou-diplomatos-euresitekhnias-b2","Κατάθεση μετάφρασης τροποποιημένου ευρωπαϊκού διπλώματος ευρεσιτεχνίας (Β2)")</f>
        <v>Κατάθεση μετάφρασης τροποποιημένου ευρωπαϊκού διπλώματος ευρεσιτεχνίας (Β2)</v>
      </c>
      <c r="E631" t="s">
        <v>107</v>
      </c>
    </row>
    <row r="632" spans="1:5" x14ac:dyDescent="0.25">
      <c r="A632">
        <v>16304</v>
      </c>
      <c r="B632" t="s">
        <v>5</v>
      </c>
      <c r="C632" t="s">
        <v>138</v>
      </c>
      <c r="D632" t="str">
        <f>HYPERLINK("Https://www.gov.gr/ipiresies/epikheirematike-drasterioteta/biomekhanike-idioktesia/metabole-diplomatos-euresitekhnias","Μεταβολή διπλώματος ευρεσιτεχνίας")</f>
        <v>Μεταβολή διπλώματος ευρεσιτεχνίας</v>
      </c>
      <c r="E632" t="s">
        <v>107</v>
      </c>
    </row>
    <row r="633" spans="1:5" x14ac:dyDescent="0.25">
      <c r="A633">
        <v>16305</v>
      </c>
      <c r="B633" t="s">
        <v>5</v>
      </c>
      <c r="C633" t="s">
        <v>138</v>
      </c>
      <c r="D633" t="str">
        <f>HYPERLINK("Https://www.gov.gr/ipiresies/epikheirematike-drasterioteta/biomekhanike-idioktesia/metabole-diplomatos-tropopoieses","Μεταβολή διπλώματος τροποποίησης")</f>
        <v>Μεταβολή διπλώματος τροποποίησης</v>
      </c>
      <c r="E633" t="s">
        <v>107</v>
      </c>
    </row>
    <row r="634" spans="1:5" x14ac:dyDescent="0.25">
      <c r="A634">
        <v>16306</v>
      </c>
      <c r="B634" t="s">
        <v>5</v>
      </c>
      <c r="C634" t="s">
        <v>138</v>
      </c>
      <c r="D634" t="str">
        <f>HYPERLINK("Https://www.gov.gr/ipiresies/epikheirematike-drasterioteta/biomekhanike-idioktesia/metabole-katatheses-metaphrases-axioseon-europaikes-aiteses","Μεταβολή κατάθεσης μετάφρασης αξιώσεων ευρωπαϊκής αίτησης")</f>
        <v>Μεταβολή κατάθεσης μετάφρασης αξιώσεων ευρωπαϊκής αίτησης</v>
      </c>
      <c r="E634" t="s">
        <v>107</v>
      </c>
    </row>
    <row r="635" spans="1:5" x14ac:dyDescent="0.25">
      <c r="A635">
        <v>16307</v>
      </c>
      <c r="B635" t="s">
        <v>5</v>
      </c>
      <c r="C635" t="s">
        <v>138</v>
      </c>
      <c r="D635" t="str">
        <f>HYPERLINK("Https://www.gov.gr/ipiresies/epikheirematike-drasterioteta/biomekhanike-idioktesia/metabole-katatheses-metaphrases-europaikou-diplomatos-euresitekhnias-b1","Μεταβολή κατάθεσης μετάφρασης ευρωπαϊκού διπλώματος ευρεσιτεχνίας (B1)")</f>
        <v>Μεταβολή κατάθεσης μετάφρασης ευρωπαϊκού διπλώματος ευρεσιτεχνίας (B1)</v>
      </c>
      <c r="E635" t="s">
        <v>107</v>
      </c>
    </row>
    <row r="636" spans="1:5" x14ac:dyDescent="0.25">
      <c r="A636">
        <v>16308</v>
      </c>
      <c r="B636" t="s">
        <v>5</v>
      </c>
      <c r="C636" t="s">
        <v>138</v>
      </c>
      <c r="D636" t="str">
        <f>HYPERLINK("Https://www.gov.gr/ipiresies/epikheirematike-drasterioteta/biomekhanike-idioktesia/metabole-katatheses-metaphrases-periorismenou-e-anaklethentos-europaikou-diplomatos-euresitekhnias-b3","Μεταβολή κατάθεσης μετάφρασης περιορισμένου ή ανακληθέντος ευρωπαϊκού διπλώματος ευρεσιτεχνίας (Β3)")</f>
        <v>Μεταβολή κατάθεσης μετάφρασης περιορισμένου ή ανακληθέντος ευρωπαϊκού διπλώματος ευρεσιτεχνίας (Β3)</v>
      </c>
      <c r="E636" t="s">
        <v>107</v>
      </c>
    </row>
    <row r="637" spans="1:5" x14ac:dyDescent="0.25">
      <c r="A637">
        <v>16309</v>
      </c>
      <c r="B637" t="s">
        <v>5</v>
      </c>
      <c r="C637" t="s">
        <v>138</v>
      </c>
      <c r="D637" t="str">
        <f>HYPERLINK("Https://www.gov.gr/ipiresies/epikheirematike-drasterioteta/biomekhanike-idioktesia/metabole-katatheses-metaphrases-tropopoiemenou-europaikou-diplomatos-euresitekhnias-b2","Μεταβολή κατάθεσης μετάφρασης τροποποιημένου ευρωπαϊκού διπλώματος ευρεσιτεχνίας (Β2)")</f>
        <v>Μεταβολή κατάθεσης μετάφρασης τροποποιημένου ευρωπαϊκού διπλώματος ευρεσιτεχνίας (Β2)</v>
      </c>
      <c r="E637" t="s">
        <v>107</v>
      </c>
    </row>
    <row r="638" spans="1:5" x14ac:dyDescent="0.25">
      <c r="A638">
        <v>16310</v>
      </c>
      <c r="B638" t="s">
        <v>5</v>
      </c>
      <c r="C638" t="s">
        <v>138</v>
      </c>
      <c r="D638" t="str">
        <f>HYPERLINK("Https://www.gov.gr/ipiresies/epikheirematike-drasterioteta/biomekhanike-idioktesia/metabole-pistopoietikou-upodeigmatos-khresimotetas","Μεταβολή πιστοποιητικού υποδείγματος χρησιμότητας")</f>
        <v>Μεταβολή πιστοποιητικού υποδείγματος χρησιμότητας</v>
      </c>
      <c r="E638" t="s">
        <v>107</v>
      </c>
    </row>
    <row r="639" spans="1:5" x14ac:dyDescent="0.25">
      <c r="A639">
        <v>16311</v>
      </c>
      <c r="B639" t="s">
        <v>5</v>
      </c>
      <c r="C639" t="s">
        <v>138</v>
      </c>
      <c r="D639" t="str">
        <f>HYPERLINK("Https://www.gov.gr/ipiresies/epikheirematike-drasterioteta/biomekhanike-idioktesia/metabole-sumpleromatikou-pistopoietikou-prostasias-paidiatrikou-pharmakou","Μεταβολή συμπληρωματικού πιστοποιητικού προστασίας παιδιατρικού φαρμάκου")</f>
        <v>Μεταβολή συμπληρωματικού πιστοποιητικού προστασίας παιδιατρικού φαρμάκου</v>
      </c>
      <c r="E639" t="s">
        <v>107</v>
      </c>
    </row>
    <row r="640" spans="1:5" x14ac:dyDescent="0.25">
      <c r="A640">
        <v>16312</v>
      </c>
      <c r="B640" t="s">
        <v>5</v>
      </c>
      <c r="C640" t="s">
        <v>138</v>
      </c>
      <c r="D640" t="str">
        <f>HYPERLINK("Https://www.gov.gr/ipiresies/epikheirematike-drasterioteta/biomekhanike-idioktesia/metabole-sumpleromatikou-pistopoietikou-prostasias-pharmakou","Μεταβολή συμπληρωματικού πιστοποιητικού προστασίας φαρμάκου")</f>
        <v>Μεταβολή συμπληρωματικού πιστοποιητικού προστασίας φαρμάκου</v>
      </c>
      <c r="E640" t="s">
        <v>107</v>
      </c>
    </row>
    <row r="641" spans="1:5" x14ac:dyDescent="0.25">
      <c r="A641">
        <v>16313</v>
      </c>
      <c r="B641" t="s">
        <v>5</v>
      </c>
      <c r="C641" t="s">
        <v>138</v>
      </c>
      <c r="D641" t="str">
        <f>HYPERLINK("Https://www.gov.gr/ipiresies/epikheirematike-drasterioteta/biomekhanike-idioktesia/metabole-sumpleromatikou-pistopoietikou-prostasias-phutoprostateutikou-proiontos","Μεταβολή συμπληρωματικού πιστοποιητικού προστασίας φυτοπροστατευτικού προϊόντος")</f>
        <v>Μεταβολή συμπληρωματικού πιστοποιητικού προστασίας φυτοπροστατευτικού προϊόντος</v>
      </c>
      <c r="E641" t="s">
        <v>107</v>
      </c>
    </row>
    <row r="642" spans="1:5" x14ac:dyDescent="0.25">
      <c r="A642">
        <v>16298</v>
      </c>
      <c r="B642" t="s">
        <v>5</v>
      </c>
      <c r="C642" t="s">
        <v>138</v>
      </c>
      <c r="D642" t="str">
        <f>HYPERLINK("Https://www.gov.gr/ipiresies/epikheirematike-drasterioteta/biomekhanike-idioktesia/paratase-iskhuos-tou-sumpleromatikou-pistopoietikou-prostasias-paidiatrikou-pharmakou","Παράταση ισχύος του συμπληρωματικού πιστοποιητικού προστασίας παιδιατρικού φαρμάκου")</f>
        <v>Παράταση ισχύος του συμπληρωματικού πιστοποιητικού προστασίας παιδιατρικού φαρμάκου</v>
      </c>
      <c r="E642" t="s">
        <v>107</v>
      </c>
    </row>
    <row r="643" spans="1:5" x14ac:dyDescent="0.25">
      <c r="A643">
        <v>16300</v>
      </c>
      <c r="B643" t="s">
        <v>5</v>
      </c>
      <c r="C643" t="s">
        <v>138</v>
      </c>
      <c r="D643" t="str">
        <f>HYPERLINK("Https://www.gov.gr/ipiresies/epikheirematike-drasterioteta/biomekhanike-idioktesia/pistopoietiko-katakhorises-topographias-proiontos-emiagogon","Πιστοποιητικό καταχώρισης τοπογραφίας προϊόντος ημιαγωγών")</f>
        <v>Πιστοποιητικό καταχώρισης τοπογραφίας προϊόντος ημιαγωγών</v>
      </c>
      <c r="E643" t="s">
        <v>107</v>
      </c>
    </row>
    <row r="644" spans="1:5" x14ac:dyDescent="0.25">
      <c r="A644">
        <v>16302</v>
      </c>
      <c r="B644" t="s">
        <v>5</v>
      </c>
      <c r="C644" t="s">
        <v>138</v>
      </c>
      <c r="D644" t="str">
        <f>HYPERLINK("Https://www.gov.gr/ipiresies/epikheirematike-drasterioteta/biomekhanike-idioktesia/pistopoietiko-proteraiotetas","Πιστοποιητικό προτεραιότητας")</f>
        <v>Πιστοποιητικό προτεραιότητας</v>
      </c>
      <c r="E644" t="s">
        <v>107</v>
      </c>
    </row>
    <row r="645" spans="1:5" x14ac:dyDescent="0.25">
      <c r="A645">
        <v>16278</v>
      </c>
      <c r="B645" t="s">
        <v>5</v>
      </c>
      <c r="C645" t="s">
        <v>138</v>
      </c>
      <c r="D645" t="str">
        <f>HYPERLINK("Https://www.gov.gr/ipiresies/epikheirematike-drasterioteta/biomekhanike-idioktesia/pistopoietiko-upodeigmatos-khresimotetas","Πιστοποιητικό υποδείγματος χρησιμότητας")</f>
        <v>Πιστοποιητικό υποδείγματος χρησιμότητας</v>
      </c>
      <c r="E645" t="s">
        <v>107</v>
      </c>
    </row>
    <row r="646" spans="1:5" x14ac:dyDescent="0.25">
      <c r="A646">
        <v>16301</v>
      </c>
      <c r="B646" t="s">
        <v>5</v>
      </c>
      <c r="C646" t="s">
        <v>138</v>
      </c>
      <c r="D646" t="str">
        <f>HYPERLINK("Https://www.gov.gr/ipiresies/epikheirematike-drasterioteta/biomekhanike-idioktesia/proereuna","Προέρευνα")</f>
        <v>Προέρευνα</v>
      </c>
      <c r="E646" t="s">
        <v>107</v>
      </c>
    </row>
    <row r="647" spans="1:5" x14ac:dyDescent="0.25">
      <c r="A647">
        <v>16299</v>
      </c>
      <c r="B647" t="s">
        <v>5</v>
      </c>
      <c r="C647" t="s">
        <v>138</v>
      </c>
      <c r="D647" t="str">
        <f>HYPERLINK("Https://www.gov.gr/ipiresies/epikheirematike-drasterioteta/biomekhanike-idioktesia/sumbase-metaphoras-tekhnologias","Σύμβαση μεταφοράς τεχνολογίας")</f>
        <v>Σύμβαση μεταφοράς τεχνολογίας</v>
      </c>
      <c r="E647" t="s">
        <v>107</v>
      </c>
    </row>
    <row r="648" spans="1:5" x14ac:dyDescent="0.25">
      <c r="A648">
        <v>16296</v>
      </c>
      <c r="B648" t="s">
        <v>5</v>
      </c>
      <c r="C648" t="s">
        <v>138</v>
      </c>
      <c r="D648" t="str">
        <f>HYPERLINK("Https://www.gov.gr/ipiresies/epikheirematike-drasterioteta/biomekhanike-idioktesia/sumpleromatiko-pistopoietiko-prostasias-pharmakou","Συμπληρωματικό πιστοποιητικό προστασίας φαρμάκου")</f>
        <v>Συμπληρωματικό πιστοποιητικό προστασίας φαρμάκου</v>
      </c>
      <c r="E648" t="s">
        <v>107</v>
      </c>
    </row>
    <row r="649" spans="1:5" x14ac:dyDescent="0.25">
      <c r="A649">
        <v>16297</v>
      </c>
      <c r="B649" t="s">
        <v>5</v>
      </c>
      <c r="C649" t="s">
        <v>138</v>
      </c>
      <c r="D649" t="str">
        <f>HYPERLINK("Https://www.gov.gr/ipiresies/epikheirematike-drasterioteta/biomekhanike-idioktesia/sumpleromatiko-pistopoietiko-prostasias-phutoprostateutikou-proiontos","Συμπληρωματικό πιστοποιητικό προστασίας φυτοπροστατευτικού προϊόντος")</f>
        <v>Συμπληρωματικό πιστοποιητικό προστασίας φυτοπροστατευτικού προϊόντος</v>
      </c>
      <c r="E649" t="s">
        <v>107</v>
      </c>
    </row>
    <row r="650" spans="1:5" x14ac:dyDescent="0.25">
      <c r="A650">
        <v>16316</v>
      </c>
      <c r="B650" t="s">
        <v>5</v>
      </c>
      <c r="C650" t="s">
        <v>131</v>
      </c>
      <c r="D650" t="str">
        <f>HYPERLINK("Https://www.gov.gr/ipiresies/epikheirematike-drasterioteta/elegkhos-egkurotetas-phorologikon-kai-asphalistikon-stoikheion/asphalistike-enemeroteta-ergodoton-koinon-epikheireseon-oikodomotekhnikon-ergon-eephka","Ασφαλιστική ενημερότητα  εργοδοτών κοινών επιχειρήσεων / οικοδομοτεχνικών έργων (eΕΦΚΑ)")</f>
        <v>Ασφαλιστική ενημερότητα  εργοδοτών κοινών επιχειρήσεων / οικοδομοτεχνικών έργων (eΕΦΚΑ)</v>
      </c>
      <c r="E650" t="s">
        <v>44</v>
      </c>
    </row>
    <row r="651" spans="1:5" x14ac:dyDescent="0.25">
      <c r="A651">
        <v>16315</v>
      </c>
      <c r="B651" t="s">
        <v>5</v>
      </c>
      <c r="C651" t="s">
        <v>131</v>
      </c>
      <c r="D651" t="str">
        <f>HYPERLINK("Https://www.gov.gr/ipiresies/epikheirematike-drasterioteta/elegkhos-egkurotetas-phorologikon-kai-asphalistikon-stoikheion/asphalistike-enemeroteta-pistopoiemenon-phoreon-eephka","Ασφαλιστική ενημερότητα πιστοποιημένων φορέων (eΕΦΚΑ)")</f>
        <v>Ασφαλιστική ενημερότητα πιστοποιημένων φορέων (eΕΦΚΑ)</v>
      </c>
      <c r="E651" t="s">
        <v>44</v>
      </c>
    </row>
    <row r="652" spans="1:5" x14ac:dyDescent="0.25">
      <c r="A652">
        <v>15308</v>
      </c>
      <c r="B652" t="s">
        <v>5</v>
      </c>
      <c r="C652" t="s">
        <v>131</v>
      </c>
      <c r="D652" t="str">
        <f>HYPERLINK("Https://www.gov.gr/ipiresies/epikheirematike-drasterioteta/elegkhos-egkurotetas-phorologikon-kai-asphalistikon-stoikheion/egkuroteta-oristikopoiese-pistopoietikou-enphia","Εγκυρότητα &amp; οριστικοποίηση πιστοποιητικού ΕΝΦΙΑ")</f>
        <v>Εγκυρότητα &amp; οριστικοποίηση πιστοποιητικού ΕΝΦΙΑ</v>
      </c>
      <c r="E652" t="s">
        <v>59</v>
      </c>
    </row>
    <row r="653" spans="1:5" x14ac:dyDescent="0.25">
      <c r="A653">
        <v>15309</v>
      </c>
      <c r="B653" t="s">
        <v>5</v>
      </c>
      <c r="C653" t="s">
        <v>131</v>
      </c>
      <c r="D653" t="str">
        <f>HYPERLINK("Https://www.gov.gr/ipiresies/epikheirematike-drasterioteta/elegkhos-egkurotetas-phorologikon-kai-asphalistikon-stoikheion/egkuroteta-apodeiktikou-phorologikes-enemerotetas","Εγκυρότητα αποδεικτικού φορολογικής ενημερότητας")</f>
        <v>Εγκυρότητα αποδεικτικού φορολογικής ενημερότητας</v>
      </c>
      <c r="E653" t="s">
        <v>59</v>
      </c>
    </row>
    <row r="654" spans="1:5" x14ac:dyDescent="0.25">
      <c r="A654">
        <v>16482</v>
      </c>
      <c r="B654" t="s">
        <v>5</v>
      </c>
      <c r="C654" t="s">
        <v>131</v>
      </c>
      <c r="D654" t="str">
        <f>HYPERLINK("Https://www.gov.gr/ipiresies/epikheirematike-drasterioteta/elegkhos-egkurotetas-phorologikon-kai-asphalistikon-stoikheion/elegkhos-egkurotetas-apodeiktikou-asphalistikes-enemerotetas","Έλεγχος εγκυρότητας αποδεικτικού ασφαλιστικής ενημερότητας")</f>
        <v>Έλεγχος εγκυρότητας αποδεικτικού ασφαλιστικής ενημερότητας</v>
      </c>
      <c r="E654" t="s">
        <v>44</v>
      </c>
    </row>
    <row r="655" spans="1:5" x14ac:dyDescent="0.25">
      <c r="A655">
        <v>15269</v>
      </c>
      <c r="B655" t="s">
        <v>5</v>
      </c>
      <c r="C655" t="s">
        <v>145</v>
      </c>
      <c r="D655" t="str">
        <f>HYPERLINK("Https://www.gov.gr/ipiresies/epikheirematike-drasterioteta/enarxe-kai-luse-epikheireses/gnostopoiese-enarxes-epikheirematikes-drasteriotetas","Γνωστοποίηση έναρξης επιχειρηματικής δραστηριότητας")</f>
        <v>Γνωστοποίηση έναρξης επιχειρηματικής δραστηριότητας</v>
      </c>
      <c r="E655" t="s">
        <v>74</v>
      </c>
    </row>
    <row r="656" spans="1:5" x14ac:dyDescent="0.25">
      <c r="A656">
        <v>15342</v>
      </c>
      <c r="B656" t="s">
        <v>5</v>
      </c>
      <c r="C656" t="s">
        <v>145</v>
      </c>
      <c r="D656" t="str">
        <f>HYPERLINK("Https://www.gov.gr/ipiresies/epikheirematike-drasterioteta/enarxe-kai-luse-epikheireses/exodikastikos-mekhanismos","Παλαιός εξωδικαστικός μηχανισμός")</f>
        <v>Παλαιός εξωδικαστικός μηχανισμός</v>
      </c>
      <c r="E656" t="s">
        <v>15</v>
      </c>
    </row>
    <row r="657" spans="1:5" x14ac:dyDescent="0.25">
      <c r="A657">
        <v>15577</v>
      </c>
      <c r="B657" t="s">
        <v>5</v>
      </c>
      <c r="C657" t="s">
        <v>145</v>
      </c>
      <c r="D657" t="str">
        <f>HYPERLINK("Https://www.gov.gr/ipiresies/epikheirematike-drasterioteta/enarxe-kai-luse-epikheireses/sustase-epikheireses","Σύσταση επιχείρησης")</f>
        <v>Σύσταση επιχείρησης</v>
      </c>
      <c r="E657" t="s">
        <v>186</v>
      </c>
    </row>
    <row r="658" spans="1:5" x14ac:dyDescent="0.25">
      <c r="A658">
        <v>16805</v>
      </c>
      <c r="B658" t="s">
        <v>5</v>
      </c>
      <c r="C658" t="s">
        <v>145</v>
      </c>
      <c r="D658" t="str">
        <f>HYPERLINK("Https://www.gov.gr/ipiresies/epikheirematike-drasterioteta/enarxe-kai-luse-epikheireses/sustase-nautiliakes-etaireias-ploion-anapsukhes-nepa","Σύσταση Ναυτιλιακής Εταιρείας Πλοίων Αναψυχής (ΝΕΠΑ)")</f>
        <v>Σύσταση Ναυτιλιακής Εταιρείας Πλοίων Αναψυχής (ΝΕΠΑ)</v>
      </c>
      <c r="E658" t="s">
        <v>37</v>
      </c>
    </row>
    <row r="659" spans="1:5" x14ac:dyDescent="0.25">
      <c r="A659">
        <v>15587</v>
      </c>
      <c r="B659" t="s">
        <v>5</v>
      </c>
      <c r="C659" t="s">
        <v>58</v>
      </c>
      <c r="D659" t="str">
        <f>HYPERLINK("Https://www.gov.gr/ipiresies/epikheirematike-drasterioteta/eniskhuse-epikheireseon/aitese-eniskhuses-epistreptea-prokatabole","Αίτηση ενίσχυσης (Επιστρεπτέα Προκαταβολή)")</f>
        <v>Αίτηση ενίσχυσης (Επιστρεπτέα Προκαταβολή)</v>
      </c>
      <c r="E659" t="s">
        <v>59</v>
      </c>
    </row>
    <row r="660" spans="1:5" x14ac:dyDescent="0.25">
      <c r="A660">
        <v>16816</v>
      </c>
      <c r="B660" t="s">
        <v>5</v>
      </c>
      <c r="C660" t="s">
        <v>58</v>
      </c>
      <c r="D660" t="str">
        <f>HYPERLINK("Https://www.gov.gr/ipiresies/epikheirematike-drasterioteta/eniskhuse-epikheireseon/neosanaptyxiakos","Αίτηση υπαγωγής επενδυτικού σχεδίου του Ν. 4887/2022 στους τομείς μεταποίησης και εφοδιαστικής αλυσίδας")</f>
        <v>Αίτηση υπαγωγής επενδυτικού σχεδίου του Ν. 4887/2022 στους τομείς μεταποίησης και εφοδιαστικής αλυσίδας</v>
      </c>
      <c r="E660" t="s">
        <v>74</v>
      </c>
    </row>
    <row r="661" spans="1:5" x14ac:dyDescent="0.25">
      <c r="A661">
        <v>16749</v>
      </c>
      <c r="B661" t="s">
        <v>5</v>
      </c>
      <c r="C661" t="s">
        <v>58</v>
      </c>
      <c r="D661" t="str">
        <f>HYPERLINK("Https://www.gov.gr/ipiresies/epikheirematike-drasterioteta/eniskhuse-epikheireseon/delose-stoikheion-epikheireseon-entupon-meson-enemeroses","Δήλωση στοιχείων επιχειρήσεων έντυπων μέσων ενημέρωσης")</f>
        <v>Δήλωση στοιχείων επιχειρήσεων έντυπων μέσων ενημέρωσης</v>
      </c>
      <c r="E661" t="s">
        <v>153</v>
      </c>
    </row>
    <row r="662" spans="1:5" x14ac:dyDescent="0.25">
      <c r="A662">
        <v>16370</v>
      </c>
      <c r="B662" t="s">
        <v>5</v>
      </c>
      <c r="C662" t="s">
        <v>58</v>
      </c>
      <c r="D662" t="str">
        <f>HYPERLINK("Https://www.gov.gr/ipiresies/epikheirematike-drasterioteta/eniskhuse-epikheireseon/demiourgia-kai-egkrise-skhediou-sumphonias-exugianses","Δημιουργία και έγκριση σχεδίου συμφωνίας εξυγίανσης")</f>
        <v>Δημιουργία και έγκριση σχεδίου συμφωνίας εξυγίανσης</v>
      </c>
      <c r="E662" t="s">
        <v>15</v>
      </c>
    </row>
    <row r="663" spans="1:5" x14ac:dyDescent="0.25">
      <c r="A663">
        <v>16775</v>
      </c>
      <c r="B663" t="s">
        <v>5</v>
      </c>
      <c r="C663" t="s">
        <v>58</v>
      </c>
      <c r="D663" t="str">
        <f>HYPERLINK("Https://www.gov.gr/ipiresies/epikheirematike-drasterioteta/eniskhuse-epikheireseon/eniskhuse-anaptuxes-psephiakon-proionton-kai-uperesion","Ενίσχυση ανάπτυξης ψηφιακών προϊόντων και υπηρεσιών")</f>
        <v>Ενίσχυση ανάπτυξης ψηφιακών προϊόντων και υπηρεσιών</v>
      </c>
      <c r="E663" t="s">
        <v>15</v>
      </c>
    </row>
    <row r="664" spans="1:5" x14ac:dyDescent="0.25">
      <c r="A664">
        <v>16770</v>
      </c>
      <c r="B664" t="s">
        <v>5</v>
      </c>
      <c r="C664" t="s">
        <v>58</v>
      </c>
      <c r="D664" t="str">
        <f>HYPERLINK("Https://www.gov.gr/ipiresies/epikheirematike-drasterioteta/eniskhuse-epikheireseon/enstase-parokhou-programmatos-kataskenoseon-demosias-uperesias-apaskholeses-dupa","Ένσταση παρόχου προγράμματος κατασκηνώσεων Δημόσιας Υπηρεσίας Απασχόλησης ΔΥΠΑ")</f>
        <v>Ένσταση παρόχου προγράμματος κατασκηνώσεων Δημόσιας Υπηρεσίας Απασχόλησης ΔΥΠΑ</v>
      </c>
      <c r="E664" t="s">
        <v>66</v>
      </c>
    </row>
    <row r="665" spans="1:5" x14ac:dyDescent="0.25">
      <c r="A665">
        <v>16369</v>
      </c>
      <c r="B665" t="s">
        <v>5</v>
      </c>
      <c r="C665" t="s">
        <v>58</v>
      </c>
      <c r="D665" t="str">
        <f>HYPERLINK("Https://www.gov.gr/ipiresies/epikheirematike-drasterioteta/eniskhuse-epikheireseon/epidotese-daneion-epikheireseon-plegenton-koronoiou-gephura-ii","Επιδότηση δανείων επιχειρήσεων πληγέντων κορωνοιού - Γέφυρα ΙΙ")</f>
        <v>Επιδότηση δανείων επιχειρήσεων πληγέντων κορωνοιού - Γέφυρα ΙΙ</v>
      </c>
      <c r="E665" t="s">
        <v>15</v>
      </c>
    </row>
    <row r="666" spans="1:5" x14ac:dyDescent="0.25">
      <c r="A666">
        <v>16776</v>
      </c>
      <c r="B666" t="s">
        <v>5</v>
      </c>
      <c r="C666" t="s">
        <v>58</v>
      </c>
      <c r="D666" t="str">
        <f>HYPERLINK("Https://www.gov.gr/ipiresies/epikheirematike-drasterioteta/eniskhuse-epikheireseon/epitage-voucher-gia-ten-agora-psephiakon-ergaleion-uposterixes-elektronikon-sunallagon","Επιταγή (voucher) για την αγορά ψηφιακών εργαλείων υποστήριξης ηλεκτρονικών συναλλαγών")</f>
        <v>Επιταγή (voucher) για την αγορά ψηφιακών εργαλείων υποστήριξης ηλεκτρονικών συναλλαγών</v>
      </c>
      <c r="E666" t="s">
        <v>15</v>
      </c>
    </row>
    <row r="667" spans="1:5" x14ac:dyDescent="0.25">
      <c r="A667">
        <v>16774</v>
      </c>
      <c r="B667" t="s">
        <v>5</v>
      </c>
      <c r="C667" t="s">
        <v>58</v>
      </c>
      <c r="D667" t="str">
        <f>HYPERLINK("Https://www.gov.gr/ipiresies/epikheirematike-drasterioteta/eniskhuse-epikheireseon/epitage-voucher-gia-ten-agora-psephiakon-proionton-uperesion-apo-to-programma-psephiaka-ergaleia-mikromesaion-epikheireseon-mme","Επιταγή (voucher) για την αγορά ψηφιακών προϊόντων / υπηρεσιών από το πρόγραμμα ψηφιακά εργαλεία Μικρομεσαίων Επιχειρήσεων (ΜΜΕ)")</f>
        <v>Επιταγή (voucher) για την αγορά ψηφιακών προϊόντων / υπηρεσιών από το πρόγραμμα ψηφιακά εργαλεία Μικρομεσαίων Επιχειρήσεων (ΜΜΕ)</v>
      </c>
      <c r="E667" t="s">
        <v>15</v>
      </c>
    </row>
    <row r="668" spans="1:5" x14ac:dyDescent="0.25">
      <c r="A668">
        <v>15643</v>
      </c>
      <c r="B668" t="s">
        <v>5</v>
      </c>
      <c r="C668" t="s">
        <v>58</v>
      </c>
      <c r="D668" t="str">
        <f>HYPERLINK("Https://www.gov.gr/ipiresies/epikheirematike-drasterioteta/eniskhuse-epikheireseon/olokleromeno-plerophoriako-sustema-espa-ops-espa","Ολοκληρωμένο Πληροφοριακό Σύστημα ΕΣΠΑ (ΟΠΣ-ΕΣΠΑ)")</f>
        <v>Ολοκληρωμένο Πληροφοριακό Σύστημα ΕΣΠΑ (ΟΠΣ-ΕΣΠΑ)</v>
      </c>
      <c r="E668" t="s">
        <v>74</v>
      </c>
    </row>
    <row r="669" spans="1:5" x14ac:dyDescent="0.25">
      <c r="A669">
        <v>15533</v>
      </c>
      <c r="B669" t="s">
        <v>5</v>
      </c>
      <c r="C669" t="s">
        <v>58</v>
      </c>
      <c r="D669" t="str">
        <f>HYPERLINK("Https://www.gov.gr/ipiresies/epikheirematike-drasterioteta/eniskhuse-epikheireseon/parokhoi-kataskenoses","Πάροχοι κατασκήνωσης Δημόσιας Υπηρεσίας Απασχόλησης ΔΥΠΑ")</f>
        <v>Πάροχοι κατασκήνωσης Δημόσιας Υπηρεσίας Απασχόλησης ΔΥΠΑ</v>
      </c>
      <c r="E669" t="s">
        <v>66</v>
      </c>
    </row>
    <row r="670" spans="1:5" x14ac:dyDescent="0.25">
      <c r="A670">
        <v>15777</v>
      </c>
      <c r="B670" t="s">
        <v>5</v>
      </c>
      <c r="C670" t="s">
        <v>58</v>
      </c>
      <c r="D670" t="str">
        <f>HYPERLINK("Https://www.gov.gr/ipiresies/epikheirematike-drasterioteta/eniskhuse-epikheireseon/protaseis-europaikon-kombon-psephiakes-kainotomias-european-digital-innovation-hubs-edihs","Προτάσεις Ευρωπαϊκών Κόμβων Ψηφιακής Καινοτομίας (European Digital Innovation Hubs- EDIHs)")</f>
        <v>Προτάσεις Ευρωπαϊκών Κόμβων Ψηφιακής Καινοτομίας (European Digital Innovation Hubs- EDIHs)</v>
      </c>
      <c r="E670" t="s">
        <v>26</v>
      </c>
    </row>
    <row r="671" spans="1:5" x14ac:dyDescent="0.25">
      <c r="A671">
        <v>16783</v>
      </c>
      <c r="B671" t="s">
        <v>5</v>
      </c>
      <c r="C671" t="s">
        <v>58</v>
      </c>
      <c r="D671" t="str">
        <f>HYPERLINK("Https://www.gov.gr/ipiresies/epikheirematike-drasterioteta/eniskhuse-epikheireseon/summetokhe-prometheuton-sto-programma-anakuklono-allazo-suskeue","Συμμετοχή προμηθευτών στο πρόγραμμα Ανακυκλώνω – αλλάζω συσκευή")</f>
        <v>Συμμετοχή προμηθευτών στο πρόγραμμα Ανακυκλώνω – αλλάζω συσκευή</v>
      </c>
      <c r="E671" t="s">
        <v>17</v>
      </c>
    </row>
    <row r="672" spans="1:5" x14ac:dyDescent="0.25">
      <c r="A672">
        <v>16773</v>
      </c>
      <c r="B672" t="s">
        <v>5</v>
      </c>
      <c r="C672" t="s">
        <v>58</v>
      </c>
      <c r="D672" t="str">
        <f>HYPERLINK("Https://www.gov.gr/ipiresies/epikheirematike-drasterioteta/eniskhuse-epikheireseon/summetokhe-prometheuton-sto-programma-psephiaka-ergaleia-mikromesaion-epikheireseon-mme-gia-polese-psephiakon-proionton-uperesion","Συμμετοχή προμηθευτών στο πρόγραμμα ψηφιακά εργαλεία Μικρομεσαίων Επιχειρήσεων (ΜΜΕ) για πώληση ψηφιακών προϊόντων / υπηρεσιών")</f>
        <v>Συμμετοχή προμηθευτών στο πρόγραμμα ψηφιακά εργαλεία Μικρομεσαίων Επιχειρήσεων (ΜΜΕ) για πώληση ψηφιακών προϊόντων / υπηρεσιών</v>
      </c>
      <c r="E672" t="s">
        <v>15</v>
      </c>
    </row>
    <row r="673" spans="1:5" x14ac:dyDescent="0.25">
      <c r="A673">
        <v>16778</v>
      </c>
      <c r="B673" t="s">
        <v>5</v>
      </c>
      <c r="C673" t="s">
        <v>58</v>
      </c>
      <c r="D673" t="str">
        <f>HYPERLINK("Https://www.gov.gr/ipiresies/epikheirematike-drasterioteta/eniskhuse-epikheireseon/summetokhe-prometheuton-sto-programma-psephiakes-sunallages-gia-polese-psephiakon-proionton-uperesion-elektronikon-sunallagon","Συμμετοχή προμηθευτών στο πρόγραμμα ψηφιακές συναλλαγές για πώληση ψηφιακών προϊόντων / υπηρεσιών ηλεκτρονικών συναλλαγών")</f>
        <v>Συμμετοχή προμηθευτών στο πρόγραμμα ψηφιακές συναλλαγές για πώληση ψηφιακών προϊόντων / υπηρεσιών ηλεκτρονικών συναλλαγών</v>
      </c>
      <c r="E673" t="s">
        <v>15</v>
      </c>
    </row>
    <row r="674" spans="1:5" x14ac:dyDescent="0.25">
      <c r="A674">
        <v>16361</v>
      </c>
      <c r="B674" t="s">
        <v>5</v>
      </c>
      <c r="C674" t="s">
        <v>58</v>
      </c>
      <c r="D674" t="str">
        <f>HYPERLINK("Https://www.gov.gr/ipiresies/epikheirematike-drasterioteta/eniskhuse-epikheireseon/summetokhe-prometheuton-sto-programma-psephiake-merimna-ii-gia-polese-tekhnikou-exoplismou","Συμμετοχή προμηθευτών στο πρόγραμμα Ψηφιακή Μέριμνα II για πώληση τεχνικού εξοπλισμού")</f>
        <v>Συμμετοχή προμηθευτών στο πρόγραμμα Ψηφιακή Μέριμνα II για πώληση τεχνικού εξοπλισμού</v>
      </c>
      <c r="E674" t="s">
        <v>54</v>
      </c>
    </row>
    <row r="675" spans="1:5" x14ac:dyDescent="0.25">
      <c r="A675">
        <v>16800</v>
      </c>
      <c r="B675" t="s">
        <v>5</v>
      </c>
      <c r="C675" t="s">
        <v>19</v>
      </c>
      <c r="D675" t="str">
        <f>HYPERLINK("Https://www.gov.gr/ipiresies/epikheirematike-drasterioteta/elektronikos-phakelos-epikheireses/ergani-cardscanner-app-psephiake-karta-ergasias-gia-ergodotes","Ergani CardScanner app, ψηφιακή κάρτα εργασίας για εργοδότες")</f>
        <v>Ergani CardScanner app, ψηφιακή κάρτα εργασίας για εργοδότες</v>
      </c>
      <c r="E675" t="s">
        <v>20</v>
      </c>
    </row>
    <row r="676" spans="1:5" x14ac:dyDescent="0.25">
      <c r="A676">
        <v>16799</v>
      </c>
      <c r="B676" t="s">
        <v>5</v>
      </c>
      <c r="C676" t="s">
        <v>19</v>
      </c>
      <c r="D676" t="str">
        <f>HYPERLINK("Https://www.gov.gr/ipiresies/epikheirematike-drasterioteta/elektronikos-phakelos-epikheireses/myergani-app-psephiake-karta-ergasias-gia-ergazomenous","myErgani app, ψηφιακή κάρτα εργασίας για εργαζόμενους")</f>
        <v>myErgani app, ψηφιακή κάρτα εργασίας για εργαζόμενους</v>
      </c>
      <c r="E676" t="s">
        <v>20</v>
      </c>
    </row>
    <row r="677" spans="1:5" x14ac:dyDescent="0.25">
      <c r="A677">
        <v>15216</v>
      </c>
      <c r="B677" t="s">
        <v>5</v>
      </c>
      <c r="C677" t="s">
        <v>19</v>
      </c>
      <c r="D677" t="str">
        <f>HYPERLINK("Https://www.gov.gr/ipiresies/epikheirematike-drasterioteta/elektronikos-phakelos-epikheireses/allage-antistoikhise-kodikon-arithmon-drasterioteton-kad","Αλλαγή / αντιστοίχιση Κωδικών Αριθμών Δραστηριοτήτων (ΚΑΔ)")</f>
        <v>Αλλαγή / αντιστοίχιση Κωδικών Αριθμών Δραστηριοτήτων (ΚΑΔ)</v>
      </c>
      <c r="E677" t="s">
        <v>59</v>
      </c>
    </row>
    <row r="678" spans="1:5" x14ac:dyDescent="0.25">
      <c r="A678">
        <v>15600</v>
      </c>
      <c r="B678" t="s">
        <v>5</v>
      </c>
      <c r="C678" t="s">
        <v>19</v>
      </c>
      <c r="D678" t="str">
        <f>HYPERLINK("Https://www.gov.gr/ipiresies/epikheirematike-drasterioteta/elektronikos-phakelos-epikheireses/anaggelia-apaskholeses-koinophelous-kharaktera-ergane-e3-1","Αναγγελία απασχόλησης κοινωφελούς χαρακτήρα (Εργάνη-Ε3.1)")</f>
        <v>Αναγγελία απασχόλησης κοινωφελούς χαρακτήρα (Εργάνη-Ε3.1)</v>
      </c>
      <c r="E678" t="s">
        <v>66</v>
      </c>
    </row>
    <row r="679" spans="1:5" x14ac:dyDescent="0.25">
      <c r="A679">
        <v>15601</v>
      </c>
      <c r="B679" t="s">
        <v>5</v>
      </c>
      <c r="C679" t="s">
        <v>19</v>
      </c>
      <c r="D679" t="str">
        <f>HYPERLINK("Https://www.gov.gr/ipiresies/epikheirematike-drasterioteta/elektronikos-phakelos-epikheireses/anaggelia-theoretikes-katartises-voucher-ergane-e3-2","Αναγγελία θεωρητικής κατάρτισης - Voucher (Εργάνη-Ε3.2)")</f>
        <v>Αναγγελία θεωρητικής κατάρτισης - Voucher (Εργάνη-Ε3.2)</v>
      </c>
      <c r="E679" t="s">
        <v>66</v>
      </c>
    </row>
    <row r="680" spans="1:5" x14ac:dyDescent="0.25">
      <c r="A680">
        <v>15592</v>
      </c>
      <c r="B680" t="s">
        <v>5</v>
      </c>
      <c r="C680" t="s">
        <v>19</v>
      </c>
      <c r="D680" t="str">
        <f>HYPERLINK("Https://www.gov.gr/ipiresies/epikheirematike-drasterioteta/elektronikos-phakelos-epikheireses/anaggelia-luses-sumbases-ergane-e7","Αναγγελία λύσης σύμβασης (Εργάνη-Ε7)")</f>
        <v>Αναγγελία λύσης σύμβασης (Εργάνη-Ε7)</v>
      </c>
      <c r="E680" t="s">
        <v>66</v>
      </c>
    </row>
    <row r="681" spans="1:5" x14ac:dyDescent="0.25">
      <c r="A681">
        <v>15603</v>
      </c>
      <c r="B681" t="s">
        <v>5</v>
      </c>
      <c r="C681" t="s">
        <v>19</v>
      </c>
      <c r="D681" t="str">
        <f>HYPERLINK("Https://www.gov.gr/ipiresies/epikheirematike-drasterioteta/elektronikos-phakelos-epikheireses/anaggelia-matheteias-ergane-e3-4","Αναγγελία μαθητείας (Εργάνη-Ε3.4)")</f>
        <v>Αναγγελία μαθητείας (Εργάνη-Ε3.4)</v>
      </c>
      <c r="E681" t="s">
        <v>66</v>
      </c>
    </row>
    <row r="682" spans="1:5" x14ac:dyDescent="0.25">
      <c r="A682">
        <v>15590</v>
      </c>
      <c r="B682" t="s">
        <v>5</v>
      </c>
      <c r="C682" t="s">
        <v>19</v>
      </c>
      <c r="D682" t="str">
        <f>HYPERLINK("Https://www.gov.gr/ipiresies/epikheirematike-drasterioteta/elektronikos-phakelos-epikheireses/anaggelia-oikeiothelous-apokhoreses-ergane-e5","Αναγγελία οικειοθελούς αποχώρησης (Εργάνη-Ε5)")</f>
        <v>Αναγγελία οικειοθελούς αποχώρησης (Εργάνη-Ε5)</v>
      </c>
      <c r="E682" t="s">
        <v>66</v>
      </c>
    </row>
    <row r="683" spans="1:5" x14ac:dyDescent="0.25">
      <c r="A683">
        <v>15602</v>
      </c>
      <c r="B683" t="s">
        <v>5</v>
      </c>
      <c r="C683" t="s">
        <v>19</v>
      </c>
      <c r="D683" t="str">
        <f>HYPERLINK("Https://www.gov.gr/ipiresies/epikheirematike-drasterioteta/elektronikos-phakelos-epikheireses/anaggelia-praktikes-katartises-voucher-ergane-e3-3","Αναγγελία πρακτικής κατάρτισης - Voucher (Εργάνη-Ε3.3)")</f>
        <v>Αναγγελία πρακτικής κατάρτισης - Voucher (Εργάνη-Ε3.3)</v>
      </c>
      <c r="E683" t="s">
        <v>66</v>
      </c>
    </row>
    <row r="684" spans="1:5" x14ac:dyDescent="0.25">
      <c r="A684">
        <v>15589</v>
      </c>
      <c r="B684" t="s">
        <v>5</v>
      </c>
      <c r="C684" t="s">
        <v>19</v>
      </c>
      <c r="D684" t="str">
        <f>HYPERLINK("Https://www.gov.gr/ipiresies/epikheirematike-drasterioteta/elektronikos-phakelos-epikheireses/anaggelia-proslepses-ergane-e3","Αναγγελία πρόσληψης (Εργάνη-Ε3)")</f>
        <v>Αναγγελία πρόσληψης (Εργάνη-Ε3)</v>
      </c>
      <c r="E684" t="s">
        <v>66</v>
      </c>
    </row>
    <row r="685" spans="1:5" x14ac:dyDescent="0.25">
      <c r="A685">
        <v>15596</v>
      </c>
      <c r="B685" t="s">
        <v>5</v>
      </c>
      <c r="C685" t="s">
        <v>19</v>
      </c>
      <c r="D685" t="str">
        <f>HYPERLINK("Https://www.gov.gr/ipiresies/epikheirematike-drasterioteta/elektronikos-phakelos-epikheireses/anaggelia-uperergasias-e-nomimes-uperoriakes-apaskholeses-ergane-e8","Αναγγελία υπερεργασίας ή νόμιμης υπερωριακής απασχόλησης (Εργάνη-Ε8)")</f>
        <v>Αναγγελία υπερεργασίας ή νόμιμης υπερωριακής απασχόλησης (Εργάνη-Ε8)</v>
      </c>
      <c r="E685" t="s">
        <v>51</v>
      </c>
    </row>
    <row r="686" spans="1:5" x14ac:dyDescent="0.25">
      <c r="A686">
        <v>15224</v>
      </c>
      <c r="B686" t="s">
        <v>5</v>
      </c>
      <c r="C686" t="s">
        <v>19</v>
      </c>
      <c r="D686" t="str">
        <f>HYPERLINK("Https://www.gov.gr/ipiresies/epikheirematike-drasterioteta/elektronikos-phakelos-epikheireses/anagnose-kleidarithmou-epikheireses-e-ums","Ανάγνωση κλειδαρίθμου επιχείρησης (e-ΥΜΣ)")</f>
        <v>Ανάγνωση κλειδαρίθμου επιχείρησης (e-ΥΜΣ)</v>
      </c>
      <c r="E686" t="s">
        <v>59</v>
      </c>
    </row>
    <row r="687" spans="1:5" x14ac:dyDescent="0.25">
      <c r="A687">
        <v>16616</v>
      </c>
      <c r="B687" t="s">
        <v>5</v>
      </c>
      <c r="C687" t="s">
        <v>19</v>
      </c>
      <c r="D687" t="str">
        <f>HYPERLINK("Https://www.gov.gr/ipiresies/epikheirematike-drasterioteta/elektronikos-phakelos-epikheireses/enemerose-ergazomenon-myergani","Ενημέρωση εργαζομένων (myergani)")</f>
        <v>Ενημέρωση εργαζομένων (myergani)</v>
      </c>
      <c r="E687" t="s">
        <v>20</v>
      </c>
    </row>
    <row r="688" spans="1:5" x14ac:dyDescent="0.25">
      <c r="A688">
        <v>15598</v>
      </c>
      <c r="B688" t="s">
        <v>5</v>
      </c>
      <c r="C688" t="s">
        <v>19</v>
      </c>
      <c r="D688" t="str">
        <f>HYPERLINK("Https://www.gov.gr/ipiresies/epikheirematike-drasterioteta/elektronikos-phakelos-epikheireses/epikheiresiakes-sumbaseis-ergane-e10","Επιχειρησιακές συμβάσεις (Εργάνη-Ε10)")</f>
        <v>Επιχειρησιακές συμβάσεις (Εργάνη-Ε10)</v>
      </c>
      <c r="E688" t="s">
        <v>51</v>
      </c>
    </row>
    <row r="689" spans="1:5" x14ac:dyDescent="0.25">
      <c r="A689">
        <v>15599</v>
      </c>
      <c r="B689" t="s">
        <v>5</v>
      </c>
      <c r="C689" t="s">
        <v>19</v>
      </c>
      <c r="D689" t="str">
        <f>HYPERLINK("Https://www.gov.gr/ipiresies/epikheirematike-drasterioteta/elektronikos-phakelos-epikheireses/etesies-adeies-ergane-e11","Ετήσιες άδειες (Εργάνη-Ε11)")</f>
        <v>Ετήσιες άδειες (Εργάνη-Ε11)</v>
      </c>
      <c r="E689" t="s">
        <v>51</v>
      </c>
    </row>
    <row r="690" spans="1:5" x14ac:dyDescent="0.25">
      <c r="A690">
        <v>15593</v>
      </c>
      <c r="B690" t="s">
        <v>5</v>
      </c>
      <c r="C690" t="s">
        <v>19</v>
      </c>
      <c r="D690" t="str">
        <f>HYPERLINK("Https://www.gov.gr/ipiresies/epikheirematike-drasterioteta/elektronikos-phakelos-epikheireses/etesios-pinakas-prosopikou-ergane-e4","Ετήσιος πίνακας προσωπικού (Εργάνη-Ε4)")</f>
        <v>Ετήσιος πίνακας προσωπικού (Εργάνη-Ε4)</v>
      </c>
      <c r="E690" t="s">
        <v>51</v>
      </c>
    </row>
    <row r="691" spans="1:5" x14ac:dyDescent="0.25">
      <c r="A691">
        <v>15190</v>
      </c>
      <c r="B691" t="s">
        <v>5</v>
      </c>
      <c r="C691" t="s">
        <v>19</v>
      </c>
      <c r="D691" t="str">
        <f>HYPERLINK("Https://www.gov.gr/ipiresies/epikheirematike-drasterioteta/elektronikos-phakelos-epikheireses/elektronika-biblia-epikheireseon-mydata","Ηλεκτρονικά Βιβλία επιχειρήσεων (MyDATA)")</f>
        <v>Ηλεκτρονικά Βιβλία επιχειρήσεων (MyDATA)</v>
      </c>
      <c r="E691" t="s">
        <v>59</v>
      </c>
    </row>
    <row r="692" spans="1:5" x14ac:dyDescent="0.25">
      <c r="A692">
        <v>15591</v>
      </c>
      <c r="B692" t="s">
        <v>5</v>
      </c>
      <c r="C692" t="s">
        <v>19</v>
      </c>
      <c r="D692" t="str">
        <f>HYPERLINK("Https://www.gov.gr/ipiresies/epikheirematike-drasterioteta/elektronikos-phakelos-epikheireses/kataggelia-sumbases-ergasias-aoristou-khronou-ergane-e6","Καταγγελία σύμβασης εργασίας αορίστου χρόνου (Εργάνη-Ε6)")</f>
        <v>Καταγγελία σύμβασης εργασίας αορίστου χρόνου (Εργάνη-Ε6)</v>
      </c>
      <c r="E692" t="s">
        <v>66</v>
      </c>
    </row>
    <row r="693" spans="1:5" x14ac:dyDescent="0.25">
      <c r="A693">
        <v>15448</v>
      </c>
      <c r="B693" t="s">
        <v>5</v>
      </c>
      <c r="C693" t="s">
        <v>19</v>
      </c>
      <c r="D693" t="str">
        <f>HYPERLINK("Https://www.gov.gr/ipiresies/epikheirematike-drasterioteta/elektronikos-phakelos-epikheireses/metroo-pragmatikon-dikaioukhon","Μητρώο πραγματικών δικαιούχων")</f>
        <v>Μητρώο πραγματικών δικαιούχων</v>
      </c>
      <c r="E693" t="s">
        <v>15</v>
      </c>
    </row>
    <row r="694" spans="1:5" x14ac:dyDescent="0.25">
      <c r="A694">
        <v>15597</v>
      </c>
      <c r="B694" t="s">
        <v>5</v>
      </c>
      <c r="C694" t="s">
        <v>19</v>
      </c>
      <c r="D694" t="str">
        <f>HYPERLINK("Https://www.gov.gr/ipiresies/epikheirematike-drasterioteta/elektronikos-phakelos-epikheireses/sumbaseis-merikes-apaskholeses-ek-peritropes-ergasias-ergane-e9","Συμβάσεις μερικής απασχόλησης / εκ περιτροπής εργασίας (Εργάνη-Ε9)")</f>
        <v>Συμβάσεις μερικής απασχόλησης / εκ περιτροπής εργασίας (Εργάνη-Ε9)</v>
      </c>
      <c r="E694" t="s">
        <v>51</v>
      </c>
    </row>
    <row r="695" spans="1:5" x14ac:dyDescent="0.25">
      <c r="A695">
        <v>15595</v>
      </c>
      <c r="B695" t="s">
        <v>5</v>
      </c>
      <c r="C695" t="s">
        <v>19</v>
      </c>
      <c r="D695" t="str">
        <f>HYPERLINK("Https://www.gov.gr/ipiresies/epikheirematike-drasterioteta/elektronikos-phakelos-epikheireses/sumpleromatikos-pinakas-orariou-ergane-e4","Συμπληρωματικός πίνακας ωραρίου (Εργάνη-Ε4)")</f>
        <v>Συμπληρωματικός πίνακας ωραρίου (Εργάνη-Ε4)</v>
      </c>
      <c r="E695" t="s">
        <v>51</v>
      </c>
    </row>
    <row r="696" spans="1:5" x14ac:dyDescent="0.25">
      <c r="A696">
        <v>15594</v>
      </c>
      <c r="B696" t="s">
        <v>5</v>
      </c>
      <c r="C696" t="s">
        <v>19</v>
      </c>
      <c r="D696" t="str">
        <f>HYPERLINK("Https://www.gov.gr/ipiresies/epikheirematike-drasterioteta/elektronikos-phakelos-epikheireses/tropopoietikos-pinakas-apodokhon-ergane-e4","Τροποποιητικός πίνακας αποδοχών (Εργάνη-Ε4)")</f>
        <v>Τροποποιητικός πίνακας αποδοχών (Εργάνη-Ε4)</v>
      </c>
      <c r="E696" t="s">
        <v>51</v>
      </c>
    </row>
    <row r="697" spans="1:5" x14ac:dyDescent="0.25">
      <c r="A697">
        <v>16362</v>
      </c>
      <c r="B697" t="s">
        <v>5</v>
      </c>
      <c r="C697" t="s">
        <v>119</v>
      </c>
      <c r="D697" t="str">
        <f>HYPERLINK("Https://www.gov.gr/ipiresies/epikheirematike-drasterioteta/metaboles/apographe-phusikou-prosopou-sto-metroo-ergodoton-eephka","Απογραφή φυσικού προσώπου στο Μητρώο Εργοδοτών (eΕΦΚΑ)")</f>
        <v>Απογραφή φυσικού προσώπου στο Μητρώο Εργοδοτών (eΕΦΚΑ)</v>
      </c>
      <c r="E697" t="s">
        <v>44</v>
      </c>
    </row>
    <row r="698" spans="1:5" x14ac:dyDescent="0.25">
      <c r="A698">
        <v>16806</v>
      </c>
      <c r="B698" t="s">
        <v>5</v>
      </c>
      <c r="C698" t="s">
        <v>119</v>
      </c>
      <c r="D698" t="str">
        <f>HYPERLINK("Https://www.gov.gr/ipiresies/epikheirematike-drasterioteta/metaboles/diakheirise-phakelou-nautiliakes-etaireias-ploion-anapsukhes-nepa","Διαχείριση φακέλου Ναυτιλιακής Εταιρείας Πλοίων Αναψυχής (ΝΕΠΑ)")</f>
        <v>Διαχείριση φακέλου Ναυτιλιακής Εταιρείας Πλοίων Αναψυχής (ΝΕΠΑ)</v>
      </c>
      <c r="E698" t="s">
        <v>37</v>
      </c>
    </row>
    <row r="699" spans="1:5" x14ac:dyDescent="0.25">
      <c r="A699">
        <v>15561</v>
      </c>
      <c r="B699" t="s">
        <v>5</v>
      </c>
      <c r="C699" t="s">
        <v>167</v>
      </c>
      <c r="D699" t="str">
        <f>HYPERLINK("Https://www.gov.gr/ipiresies/epikheirematike-drasterioteta/uperesies-khemeiou/ethniko-metroo-khemikon-proionton","Εθνικό Μητρώο Χημικών Προϊόντων")</f>
        <v>Εθνικό Μητρώο Χημικών Προϊόντων</v>
      </c>
      <c r="E699" t="s">
        <v>59</v>
      </c>
    </row>
    <row r="700" spans="1:5" x14ac:dyDescent="0.25">
      <c r="A700">
        <v>15668</v>
      </c>
      <c r="B700" t="s">
        <v>5</v>
      </c>
      <c r="C700" t="s">
        <v>167</v>
      </c>
      <c r="D700" t="str">
        <f>HYPERLINK("Https://www.gov.gr/ipiresies/epikheirematike-drasterioteta/uperesies-khemeiou/ogkometrese-dexamenon","Ογκομέτρηση δεξαμενών")</f>
        <v>Ογκομέτρηση δεξαμενών</v>
      </c>
      <c r="E700" t="s">
        <v>174</v>
      </c>
    </row>
    <row r="701" spans="1:5" x14ac:dyDescent="0.25">
      <c r="A701">
        <v>15322</v>
      </c>
      <c r="B701" t="s">
        <v>5</v>
      </c>
      <c r="C701" t="s">
        <v>167</v>
      </c>
      <c r="D701" t="str">
        <f>HYPERLINK("Https://www.gov.gr/ipiresies/epikheirematike-drasterioteta/uperesies-khemeiou/pistopoietika-kai-bebaioseis-exagoges","Πιστοποιητικά και βεβαιώσεις εξαγωγής")</f>
        <v>Πιστοποιητικά και βεβαιώσεις εξαγωγής</v>
      </c>
      <c r="E701" t="s">
        <v>59</v>
      </c>
    </row>
    <row r="702" spans="1:5" x14ac:dyDescent="0.25">
      <c r="A702">
        <v>15515</v>
      </c>
      <c r="B702" t="s">
        <v>5</v>
      </c>
      <c r="C702" t="s">
        <v>6</v>
      </c>
      <c r="D702" t="str">
        <f>HYPERLINK("Https://www.gov.gr/ipiresies/epikheirematike-drasterioteta/phorologia-epikheireseon/120-doseis-ergodoton","120 δόσεις εργοδοτών")</f>
        <v>120 δόσεις εργοδοτών</v>
      </c>
      <c r="E702" t="s">
        <v>7</v>
      </c>
    </row>
    <row r="703" spans="1:5" x14ac:dyDescent="0.25">
      <c r="A703">
        <v>15883</v>
      </c>
      <c r="B703" t="s">
        <v>5</v>
      </c>
      <c r="C703" t="s">
        <v>6</v>
      </c>
      <c r="D703" t="str">
        <f>HYPERLINK("Https://www.gov.gr/ipiresies/epikheirematike-drasterioteta/phorologia-epikheireseon/apallage-apo-ten-katabole-demotikon-telon-epikheireseon-logo-covid-19","Απαλλαγή από την καταβολή δημοτικών τελών επιχειρήσεων λόγω Covid-19")</f>
        <v>Απαλλαγή από την καταβολή δημοτικών τελών επιχειρήσεων λόγω Covid-19</v>
      </c>
      <c r="E703" t="s">
        <v>115</v>
      </c>
    </row>
    <row r="704" spans="1:5" x14ac:dyDescent="0.25">
      <c r="A704">
        <v>15234</v>
      </c>
      <c r="B704" t="s">
        <v>5</v>
      </c>
      <c r="C704" t="s">
        <v>6</v>
      </c>
      <c r="D704" t="str">
        <f>HYPERLINK("Https://www.gov.gr/ipiresies/epikheirematike-drasterioteta/phorologia-epikheireseon/apodose-telous-kartokinetes-telephonias","Απόδοση τέλους καρτοκινητής τηλεφωνίας")</f>
        <v>Απόδοση τέλους καρτοκινητής τηλεφωνίας</v>
      </c>
      <c r="E704" t="s">
        <v>59</v>
      </c>
    </row>
    <row r="705" spans="1:5" x14ac:dyDescent="0.25">
      <c r="A705">
        <v>15235</v>
      </c>
      <c r="B705" t="s">
        <v>5</v>
      </c>
      <c r="C705" t="s">
        <v>6</v>
      </c>
      <c r="D705" t="str">
        <f>HYPERLINK("Https://www.gov.gr/ipiresies/epikheirematike-drasterioteta/phorologia-epikheireseon/apodose-telous-sundrometon-kinetes-telephonias","Απόδοση τέλους συνδρομητών κινητής τηλεφωνίας")</f>
        <v>Απόδοση τέλους συνδρομητών κινητής τηλεφωνίας</v>
      </c>
      <c r="E705" t="s">
        <v>59</v>
      </c>
    </row>
    <row r="706" spans="1:5" x14ac:dyDescent="0.25">
      <c r="A706">
        <v>15236</v>
      </c>
      <c r="B706" t="s">
        <v>5</v>
      </c>
      <c r="C706" t="s">
        <v>6</v>
      </c>
      <c r="D706" t="str">
        <f>HYPERLINK("Https://www.gov.gr/ipiresies/epikheirematike-drasterioteta/phorologia-epikheireseon/apodose-phorou-asphalistron","Απόδοση φόρου ασφαλίστρων")</f>
        <v>Απόδοση φόρου ασφαλίστρων</v>
      </c>
      <c r="E706" t="s">
        <v>59</v>
      </c>
    </row>
    <row r="707" spans="1:5" x14ac:dyDescent="0.25">
      <c r="A707">
        <v>15280</v>
      </c>
      <c r="B707" t="s">
        <v>5</v>
      </c>
      <c r="C707" t="s">
        <v>6</v>
      </c>
      <c r="D707" t="str">
        <f>HYPERLINK("Https://www.gov.gr/ipiresies/epikheirematike-drasterioteta/phorologia-epikheireseon/apodose-phorou-diamones","Απόδοση φόρου διαμονής")</f>
        <v>Απόδοση φόρου διαμονής</v>
      </c>
      <c r="E707" t="s">
        <v>59</v>
      </c>
    </row>
    <row r="708" spans="1:5" x14ac:dyDescent="0.25">
      <c r="A708">
        <v>15277</v>
      </c>
      <c r="B708" t="s">
        <v>5</v>
      </c>
      <c r="C708" t="s">
        <v>6</v>
      </c>
      <c r="D708" t="str">
        <f>HYPERLINK("Https://www.gov.gr/ipiresies/epikheirematike-drasterioteta/phorologia-epikheireseon/deloseis-phorou-ploion-kategorias","Δηλώσεις φόρου πλοίων Α' κατηγορίας")</f>
        <v>Δηλώσεις φόρου πλοίων Α' κατηγορίας</v>
      </c>
      <c r="E708" t="s">
        <v>59</v>
      </c>
    </row>
    <row r="709" spans="1:5" x14ac:dyDescent="0.25">
      <c r="A709">
        <v>15279</v>
      </c>
      <c r="B709" t="s">
        <v>5</v>
      </c>
      <c r="C709" t="s">
        <v>6</v>
      </c>
      <c r="D709" t="str">
        <f>HYPERLINK("Https://www.gov.gr/ipiresies/epikheirematike-drasterioteta/phorologia-epikheireseon/delose-apodoses-parakratoumenon-kai-prokatableteon-phoron","Δήλωση απόδοσης παρακρατούμενων και προκαταβλητέων φόρων")</f>
        <v>Δήλωση απόδοσης παρακρατούμενων και προκαταβλητέων φόρων</v>
      </c>
      <c r="E709" t="s">
        <v>59</v>
      </c>
    </row>
    <row r="710" spans="1:5" x14ac:dyDescent="0.25">
      <c r="A710">
        <v>16814</v>
      </c>
      <c r="B710" t="s">
        <v>5</v>
      </c>
      <c r="C710" t="s">
        <v>6</v>
      </c>
      <c r="D710" t="str">
        <f>HYPERLINK("Https://www.gov.gr/ipiresies/epikheirematike-drasterioteta/phorologia-epikheireseon/delose-apodoses-telous-anakukloses","Δήλωση απόδοσης τέλους ανακύκλωσης")</f>
        <v>Δήλωση απόδοσης τέλους ανακύκλωσης</v>
      </c>
      <c r="E710" t="s">
        <v>59</v>
      </c>
    </row>
    <row r="711" spans="1:5" x14ac:dyDescent="0.25">
      <c r="A711">
        <v>15273</v>
      </c>
      <c r="B711" t="s">
        <v>5</v>
      </c>
      <c r="C711" t="s">
        <v>6</v>
      </c>
      <c r="D711" t="str">
        <f>HYPERLINK("Https://www.gov.gr/ipiresies/epikheirematike-drasterioteta/phorologia-epikheireseon/delose-enarxes-metaboles-pauses-leitourgias-ton-ademe-taximetron-d14","Δήλωση έναρξης / μεταβολής / παύσης λειτουργίας των ΑΔΗΜΕ ταξιμέτρων (Δ14)")</f>
        <v>Δήλωση έναρξης / μεταβολής / παύσης λειτουργίας των ΑΔΗΜΕ ταξιμέτρων (Δ14)</v>
      </c>
      <c r="E711" t="s">
        <v>59</v>
      </c>
    </row>
    <row r="712" spans="1:5" x14ac:dyDescent="0.25">
      <c r="A712">
        <v>15272</v>
      </c>
      <c r="B712" t="s">
        <v>5</v>
      </c>
      <c r="C712" t="s">
        <v>6</v>
      </c>
      <c r="D712" t="str">
        <f>HYPERLINK("Https://www.gov.gr/ipiresies/epikheirematike-drasterioteta/phorologia-epikheireseon/delose-enarxes-metaboles-pauses-leitourgias-phorologikon-elektronikon-mekhanismon-d13","Δήλωση έναρξης / μεταβολής / παύσης λειτουργίας Φορολογικών Ηλεκτρονικών Μηχανισμών (Δ13)")</f>
        <v>Δήλωση έναρξης / μεταβολής / παύσης λειτουργίας Φορολογικών Ηλεκτρονικών Μηχανισμών (Δ13)</v>
      </c>
      <c r="E712" t="s">
        <v>59</v>
      </c>
    </row>
    <row r="713" spans="1:5" x14ac:dyDescent="0.25">
      <c r="A713">
        <v>15545</v>
      </c>
      <c r="B713" t="s">
        <v>5</v>
      </c>
      <c r="C713" t="s">
        <v>6</v>
      </c>
      <c r="D713" t="str">
        <f>HYPERLINK("Https://www.gov.gr/ipiresies/epikheirematike-drasterioteta/phorologia-epikheireseon/delose-parakratoumenou-phorou-apo-phoreis-genikes-kuberneses","Δήλωση παρακρατούμενου φόρου από φορείς Γενικής Κυβέρνησης")</f>
        <v>Δήλωση παρακρατούμενου φόρου από φορείς Γενικής Κυβέρνησης</v>
      </c>
      <c r="E713" t="s">
        <v>59</v>
      </c>
    </row>
    <row r="714" spans="1:5" x14ac:dyDescent="0.25">
      <c r="A714">
        <v>15284</v>
      </c>
      <c r="B714" t="s">
        <v>5</v>
      </c>
      <c r="C714" t="s">
        <v>6</v>
      </c>
      <c r="D714" t="str">
        <f>HYPERLINK("Https://www.gov.gr/ipiresies/epikheirematike-drasterioteta/phorologia-epikheireseon/delose-phorologias-eisodematos-nomikon-prosopon-ontoteton","Δήλωση φορολογίας εισοδήματος νομικών προσώπων - οντοτήτων")</f>
        <v>Δήλωση φορολογίας εισοδήματος νομικών προσώπων - οντοτήτων</v>
      </c>
      <c r="E714" t="s">
        <v>59</v>
      </c>
    </row>
    <row r="715" spans="1:5" x14ac:dyDescent="0.25">
      <c r="A715">
        <v>15313</v>
      </c>
      <c r="B715" t="s">
        <v>5</v>
      </c>
      <c r="C715" t="s">
        <v>6</v>
      </c>
      <c r="D715" t="str">
        <f>HYPERLINK("Https://www.gov.gr/ipiresies/epikheirematike-drasterioteta/phorologia-epikheireseon/eidike-asphalistike-eisphora-dakoktonias","Ειδική ασφαλιστική εισφορά δακοκτονίας")</f>
        <v>Ειδική ασφαλιστική εισφορά δακοκτονίας</v>
      </c>
      <c r="E715" t="s">
        <v>59</v>
      </c>
    </row>
    <row r="716" spans="1:5" x14ac:dyDescent="0.25">
      <c r="A716">
        <v>15331</v>
      </c>
      <c r="B716" t="s">
        <v>5</v>
      </c>
      <c r="C716" t="s">
        <v>6</v>
      </c>
      <c r="D716" t="str">
        <f>HYPERLINK("Https://www.gov.gr/ipiresies/epikheirematike-drasterioteta/phorologia-epikheireseon/endoomilikes-sunallages","Ενδοομιλικές συναλλαγές")</f>
        <v>Ενδοομιλικές συναλλαγές</v>
      </c>
      <c r="E716" t="s">
        <v>59</v>
      </c>
    </row>
    <row r="717" spans="1:5" x14ac:dyDescent="0.25">
      <c r="A717">
        <v>15343</v>
      </c>
      <c r="B717" t="s">
        <v>5</v>
      </c>
      <c r="C717" t="s">
        <v>6</v>
      </c>
      <c r="D717" t="str">
        <f>HYPERLINK("Https://www.gov.gr/ipiresies/epikheirematike-drasterioteta/phorologia-epikheireseon/epaggelmatikos-logariasmos","Επαγγελματικός λογαριασμός")</f>
        <v>Επαγγελματικός λογαριασμός</v>
      </c>
      <c r="E717" t="s">
        <v>59</v>
      </c>
    </row>
    <row r="718" spans="1:5" x14ac:dyDescent="0.25">
      <c r="A718">
        <v>16702</v>
      </c>
      <c r="B718" t="s">
        <v>5</v>
      </c>
      <c r="C718" t="s">
        <v>6</v>
      </c>
      <c r="D718" t="str">
        <f>HYPERLINK("Https://www.gov.gr/ipiresies/epikheirematike-drasterioteta/phorologia-epikheireseon/elektronike-delose-epi-ton-akathariston-esodon-kai-tou-telous-diamones-parepidemounton","Ηλεκτρονική δήλωση επί των Ακαθαρίστων Εσόδων και του τέλους Διαμονής Παρεπιδημούντων")</f>
        <v>Ηλεκτρονική δήλωση επί των Ακαθαρίστων Εσόδων και του τέλους Διαμονής Παρεπιδημούντων</v>
      </c>
      <c r="E718" t="s">
        <v>115</v>
      </c>
    </row>
    <row r="719" spans="1:5" x14ac:dyDescent="0.25">
      <c r="A719">
        <v>16756</v>
      </c>
      <c r="B719" t="s">
        <v>5</v>
      </c>
      <c r="C719" t="s">
        <v>6</v>
      </c>
      <c r="D719" t="str">
        <f>HYPERLINK("Https://www.gov.gr/ipiresies/epikheirematike-drasterioteta/phorologia-epikheireseon/elektroniko-aitema-phorologias-se-demosia-oikonomike-uperesia-dou","Ηλεκτρονικό αίτημα φορολογίας σε Δημόσια Οικονομική Υπηρεσία (ΔΟΥ)")</f>
        <v>Ηλεκτρονικό αίτημα φορολογίας σε Δημόσια Οικονομική Υπηρεσία (ΔΟΥ)</v>
      </c>
      <c r="E719" t="s">
        <v>59</v>
      </c>
    </row>
    <row r="720" spans="1:5" x14ac:dyDescent="0.25">
      <c r="A720">
        <v>15410</v>
      </c>
      <c r="B720" t="s">
        <v>5</v>
      </c>
      <c r="C720" t="s">
        <v>6</v>
      </c>
      <c r="D720" t="str">
        <f>HYPERLINK("Https://www.gov.gr/ipiresies/epikheirematike-drasterioteta/phorologia-epikheireseon/katastase-pelaton-prometheuton-sunallagon-muph","Κατάσταση πελατών προμηθευτών &amp; συναλλαγών (ΜΥΦ)")</f>
        <v>Κατάσταση πελατών προμηθευτών &amp; συναλλαγών (ΜΥΦ)</v>
      </c>
      <c r="E720" t="s">
        <v>59</v>
      </c>
    </row>
    <row r="721" spans="1:5" x14ac:dyDescent="0.25">
      <c r="A721">
        <v>16798</v>
      </c>
      <c r="B721" t="s">
        <v>5</v>
      </c>
      <c r="C721" t="s">
        <v>6</v>
      </c>
      <c r="D721" t="str">
        <f>HYPERLINK("Https://www.gov.gr/ipiresies/epikheirematike-drasterioteta/phorologia-epikheireseon/metroo-nautiliakon-etaireion-ploion-anapsukhes-nepa","Μητρώο Ναυτιλιακών Εταιρειών Πλοίων Αναψυχής (ΝΕΠΑ)")</f>
        <v>Μητρώο Ναυτιλιακών Εταιρειών Πλοίων Αναψυχής (ΝΕΠΑ)</v>
      </c>
      <c r="E721" t="s">
        <v>37</v>
      </c>
    </row>
    <row r="722" spans="1:5" x14ac:dyDescent="0.25">
      <c r="A722">
        <v>15447</v>
      </c>
      <c r="B722" t="s">
        <v>5</v>
      </c>
      <c r="C722" t="s">
        <v>6</v>
      </c>
      <c r="D722" t="str">
        <f>HYPERLINK("Https://www.gov.gr/ipiresies/epikheirematike-drasterioteta/phorologia-epikheireseon/metroo-ploion","Μητρώο πλοίων")</f>
        <v>Μητρώο πλοίων</v>
      </c>
      <c r="E722" t="s">
        <v>59</v>
      </c>
    </row>
    <row r="723" spans="1:5" x14ac:dyDescent="0.25">
      <c r="A723">
        <v>15271</v>
      </c>
      <c r="B723" t="s">
        <v>5</v>
      </c>
      <c r="C723" t="s">
        <v>6</v>
      </c>
      <c r="D723" t="str">
        <f>HYPERLINK("Https://www.gov.gr/ipiresies/epikheirematike-drasterioteta/phorologia-epikheireseon/parastatika-metabibases-phorologikon-elektronikon-mekhanismon-poleton-dealer-d11","Παραστατικά μεταβίβασης Φορολογικών Ηλεκτρονικών Μηχανισμών πωλητών-dealer (Δ11)")</f>
        <v>Παραστατικά μεταβίβασης Φορολογικών Ηλεκτρονικών Μηχανισμών πωλητών-dealer (Δ11)</v>
      </c>
      <c r="E723" t="s">
        <v>59</v>
      </c>
    </row>
    <row r="724" spans="1:5" x14ac:dyDescent="0.25">
      <c r="A724">
        <v>15470</v>
      </c>
      <c r="B724" t="s">
        <v>5</v>
      </c>
      <c r="C724" t="s">
        <v>6</v>
      </c>
      <c r="D724" t="str">
        <f>HYPERLINK("Https://www.gov.gr/ipiresies/epikheirematike-drasterioteta/phorologia-epikheireseon/periballontiko-telos-plastikes-sakoulas","Περιβαλλοντικό τέλος πλαστικής σακούλας")</f>
        <v>Περιβαλλοντικό τέλος πλαστικής σακούλας</v>
      </c>
      <c r="E724" t="s">
        <v>59</v>
      </c>
    </row>
    <row r="725" spans="1:5" x14ac:dyDescent="0.25">
      <c r="A725">
        <v>15487</v>
      </c>
      <c r="B725" t="s">
        <v>5</v>
      </c>
      <c r="C725" t="s">
        <v>6</v>
      </c>
      <c r="D725" t="str">
        <f>HYPERLINK("Https://www.gov.gr/ipiresies/epikheirematike-drasterioteta/phorologia-epikheireseon/prosorine-delose-apodoses-phorou-telon-khartosemou-prosorine-phmu","Προσωρινή δήλωση απόδοσης φόρου &amp; τελών χαρτοσήμου (προσωρινή ΦΜΥ)")</f>
        <v>Προσωρινή δήλωση απόδοσης φόρου &amp; τελών χαρτοσήμου (προσωρινή ΦΜΥ)</v>
      </c>
      <c r="E725" t="s">
        <v>59</v>
      </c>
    </row>
    <row r="726" spans="1:5" x14ac:dyDescent="0.25">
      <c r="A726">
        <v>15312</v>
      </c>
      <c r="B726" t="s">
        <v>5</v>
      </c>
      <c r="C726" t="s">
        <v>6</v>
      </c>
      <c r="D726" t="str">
        <f>HYPERLINK("Https://www.gov.gr/ipiresies/epikheirematike-drasterioteta/phorologia-epikheireseon/tameiakes-mekhanes-phorologikos-elektronikos-mekhanismos-phem","Ταμειακές μηχανές / Φορολογικός Ηλεκτρονικός Μηχανισμός (ΦΗΜ)")</f>
        <v>Ταμειακές μηχανές / Φορολογικός Ηλεκτρονικός Μηχανισμός (ΦΗΜ)</v>
      </c>
      <c r="E726" t="s">
        <v>59</v>
      </c>
    </row>
    <row r="727" spans="1:5" x14ac:dyDescent="0.25">
      <c r="A727">
        <v>15510</v>
      </c>
      <c r="B727" t="s">
        <v>5</v>
      </c>
      <c r="C727" t="s">
        <v>6</v>
      </c>
      <c r="D727" t="str">
        <f>HYPERLINK("Https://www.gov.gr/ipiresies/epikheirematike-drasterioteta/phorologia-epikheireseon/tele-kuklophorias-nomikon-prosopon-idiokteton-megalou-arithmou-okhematon","Τέλη κυκλοφορίας νομικών προσώπων - ιδιοκτητών μεγάλου αριθμού οχημάτων")</f>
        <v>Τέλη κυκλοφορίας νομικών προσώπων - ιδιοκτητών μεγάλου αριθμού οχημάτων</v>
      </c>
      <c r="E727" t="s">
        <v>59</v>
      </c>
    </row>
    <row r="728" spans="1:5" x14ac:dyDescent="0.25">
      <c r="A728">
        <v>15536</v>
      </c>
      <c r="B728" t="s">
        <v>5</v>
      </c>
      <c r="C728" t="s">
        <v>6</v>
      </c>
      <c r="D728" t="str">
        <f>HYPERLINK("Https://www.gov.gr/ipiresies/epikheirematike-drasterioteta/phorologia-epikheireseon/upobole-bebaioses-apodokhon-suntaxeon-amoibon-merismaton-tokon-dikaiomaton","Υποβολή βεβαίωσης αποδοχών / συντάξεων / αμοιβών / μερισμάτων / τόκων / δικαιωμάτων")</f>
        <v>Υποβολή βεβαίωσης αποδοχών / συντάξεων / αμοιβών / μερισμάτων / τόκων / δικαιωμάτων</v>
      </c>
      <c r="E728" t="s">
        <v>59</v>
      </c>
    </row>
    <row r="729" spans="1:5" x14ac:dyDescent="0.25">
      <c r="A729">
        <v>15540</v>
      </c>
      <c r="B729" t="s">
        <v>5</v>
      </c>
      <c r="C729" t="s">
        <v>6</v>
      </c>
      <c r="D729" t="str">
        <f>HYPERLINK("Https://www.gov.gr/ipiresies/epikheirematike-drasterioteta/phorologia-epikheireseon/upobole-katastases-sumphonetikon","Υποβολή κατάστασης συμφωνητικών")</f>
        <v>Υποβολή κατάστασης συμφωνητικών</v>
      </c>
      <c r="E729" t="s">
        <v>59</v>
      </c>
    </row>
    <row r="730" spans="1:5" x14ac:dyDescent="0.25">
      <c r="A730">
        <v>15194</v>
      </c>
      <c r="B730" t="s">
        <v>5</v>
      </c>
      <c r="C730" t="s">
        <v>6</v>
      </c>
      <c r="D730" t="str">
        <f>HYPERLINK("Https://www.gov.gr/ipiresies/epikheirematike-drasterioteta/phorologia-epikheireseon/upobole-stoikheion-kai-plerophorion","Υποβολή στοιχείων και πληροφοριών")</f>
        <v>Υποβολή στοιχείων και πληροφοριών</v>
      </c>
      <c r="E730" t="s">
        <v>59</v>
      </c>
    </row>
    <row r="731" spans="1:5" x14ac:dyDescent="0.25">
      <c r="A731">
        <v>15177</v>
      </c>
      <c r="B731" t="s">
        <v>5</v>
      </c>
      <c r="C731" t="s">
        <v>6</v>
      </c>
      <c r="D731" t="str">
        <f>HYPERLINK("Https://www.gov.gr/ipiresies/epikheirematike-drasterioteta/phorologia-epikheireseon/upologismos-telous-ploion-anapsukhes-kai-emeroploion-etepai","Υπολογισμός Τέλους Πλοίων Αναψυχής και Ημερόπλοιων (eTEPAI)")</f>
        <v>Υπολογισμός Τέλους Πλοίων Αναψυχής και Ημερόπλοιων (eTEPAI)</v>
      </c>
      <c r="E731" t="s">
        <v>59</v>
      </c>
    </row>
    <row r="732" spans="1:5" x14ac:dyDescent="0.25">
      <c r="A732">
        <v>15548</v>
      </c>
      <c r="B732" t="s">
        <v>5</v>
      </c>
      <c r="C732" t="s">
        <v>6</v>
      </c>
      <c r="D732" t="str">
        <f>HYPERLINK("Https://www.gov.gr/ipiresies/epikheirematike-drasterioteta/phorologia-epikheireseon/phoros-amoibon-arkhitektonon-mekhanikon","Φόρος αμοιβών αρχιτεκτόνων - μηχανικών")</f>
        <v>Φόρος αμοιβών αρχιτεκτόνων - μηχανικών</v>
      </c>
      <c r="E732" t="s">
        <v>59</v>
      </c>
    </row>
    <row r="733" spans="1:5" x14ac:dyDescent="0.25">
      <c r="A733">
        <v>15549</v>
      </c>
      <c r="B733" t="s">
        <v>5</v>
      </c>
      <c r="C733" t="s">
        <v>6</v>
      </c>
      <c r="D733" t="str">
        <f>HYPERLINK("Https://www.gov.gr/ipiresies/epikheirematike-drasterioteta/phorologia-epikheireseon/phoros-eisodematos-ergolepton","Φόρος εισοδήματος εργοληπτών")</f>
        <v>Φόρος εισοδήματος εργοληπτών</v>
      </c>
      <c r="E733" t="s">
        <v>59</v>
      </c>
    </row>
    <row r="734" spans="1:5" x14ac:dyDescent="0.25">
      <c r="A734">
        <v>15278</v>
      </c>
      <c r="B734" t="s">
        <v>5</v>
      </c>
      <c r="C734" t="s">
        <v>147</v>
      </c>
      <c r="D734" t="str">
        <f>HYPERLINK("Https://www.gov.gr/ipiresies/epikheirematike-drasterioteta/phoros-prostithemenes-axias-phpa/deloseis-phpa-pinaka-endokoinotikon-sunallagon-vies","Δηλώσεις ΦΠΑ / πίνακα ενδοκοινοτικών συναλλαγών (VIES)")</f>
        <v>Δηλώσεις ΦΠΑ / πίνακα ενδοκοινοτικών συναλλαγών (VIES)</v>
      </c>
      <c r="E734" t="s">
        <v>59</v>
      </c>
    </row>
    <row r="735" spans="1:5" x14ac:dyDescent="0.25">
      <c r="A735">
        <v>15310</v>
      </c>
      <c r="B735" t="s">
        <v>5</v>
      </c>
      <c r="C735" t="s">
        <v>147</v>
      </c>
      <c r="D735" t="str">
        <f>HYPERLINK("Https://www.gov.gr/ipiresies/epikheirematike-drasterioteta/phoros-prostithemenes-axias-phpa/egkuroteta-arithmou-phpa-vies","Εγκυρότητα αριθμού ΦΠΑ-VIES")</f>
        <v>Εγκυρότητα αριθμού ΦΠΑ-VIES</v>
      </c>
      <c r="E735" t="s">
        <v>59</v>
      </c>
    </row>
    <row r="736" spans="1:5" x14ac:dyDescent="0.25">
      <c r="A736">
        <v>15314</v>
      </c>
      <c r="B736" t="s">
        <v>5</v>
      </c>
      <c r="C736" t="s">
        <v>147</v>
      </c>
      <c r="D736" t="str">
        <f>HYPERLINK("Https://www.gov.gr/ipiresies/epikheirematike-drasterioteta/phoros-prostithemenes-axias-phpa/eidiko-kathestos-phpa-arthro-39b","Ειδικό καθεστώς ΦΠΑ - άρθρο 39Β")</f>
        <v>Ειδικό καθεστώς ΦΠΑ - άρθρο 39Β</v>
      </c>
      <c r="E736" t="s">
        <v>59</v>
      </c>
    </row>
    <row r="737" spans="1:5" x14ac:dyDescent="0.25">
      <c r="A737">
        <v>15208</v>
      </c>
      <c r="B737" t="s">
        <v>5</v>
      </c>
      <c r="C737" t="s">
        <v>147</v>
      </c>
      <c r="D737" t="str">
        <f>HYPERLINK("Https://www.gov.gr/ipiresies/epikheirematike-drasterioteta/phoros-prostithemenes-axias-phpa/epistrophe-phpa-apo-khores-tes-ee","Επιστροφή ΦΠΑ από χώρες της ΕΕ")</f>
        <v>Επιστροφή ΦΠΑ από χώρες της ΕΕ</v>
      </c>
      <c r="E737" t="s">
        <v>59</v>
      </c>
    </row>
    <row r="738" spans="1:5" x14ac:dyDescent="0.25">
      <c r="A738">
        <v>15189</v>
      </c>
      <c r="B738" t="s">
        <v>5</v>
      </c>
      <c r="C738" t="s">
        <v>147</v>
      </c>
      <c r="D738" t="str">
        <f>HYPERLINK("Https://www.gov.gr/ipiresies/epikheirematike-drasterioteta/phoros-prostithemenes-axias-phpa/mikre-monoapeuthuntike-thurida-phpa-moss","Μικρή μονοαπευθυντική θυρίδα ΦΠΑ (MOSS)")</f>
        <v>Μικρή μονοαπευθυντική θυρίδα ΦΠΑ (MOSS)</v>
      </c>
      <c r="E738" t="s">
        <v>59</v>
      </c>
    </row>
    <row r="739" spans="1:5" x14ac:dyDescent="0.25">
      <c r="A739">
        <v>16440</v>
      </c>
      <c r="B739" t="s">
        <v>5</v>
      </c>
      <c r="C739" t="s">
        <v>147</v>
      </c>
      <c r="D739" t="str">
        <f>HYPERLINK("Https://www.gov.gr/ipiresies/epikheirematike-drasterioteta/phoros-prostithemenes-axias-phpa/uperesia-mias-stases-phpa-vat-one-stop-shop","Υπηρεσία μιας στάσης ΦΠΑ (VAT One Stop Shop)")</f>
        <v>Υπηρεσία μιας στάσης ΦΠΑ (VAT One Stop Shop)</v>
      </c>
      <c r="E739" t="s">
        <v>59</v>
      </c>
    </row>
    <row r="740" spans="1:5" x14ac:dyDescent="0.25">
      <c r="A740">
        <v>16491</v>
      </c>
      <c r="B740" t="s">
        <v>8</v>
      </c>
      <c r="C740" t="s">
        <v>64</v>
      </c>
      <c r="D740" t="str">
        <f>HYPERLINK("Https://www.gov.gr/ipiresies/ergasia-kai-asphalise/anagnorise-epaggelmatikon-prosonton/aitese-epanexetases-gia-apoktese-adeias-nauagososte","Αίτηση επανεξέτασης για απόκτηση άδειας ναυαγοσώστη")</f>
        <v>Αίτηση επανεξέτασης για απόκτηση άδειας ναυαγοσώστη</v>
      </c>
      <c r="E740" t="s">
        <v>37</v>
      </c>
    </row>
    <row r="741" spans="1:5" x14ac:dyDescent="0.25">
      <c r="A741">
        <v>16665</v>
      </c>
      <c r="B741" t="s">
        <v>8</v>
      </c>
      <c r="C741" t="s">
        <v>64</v>
      </c>
      <c r="D741" t="str">
        <f>HYPERLINK("Https://www.gov.gr/ipiresies/ergasia-kai-asphalise/anagnorise-epaggelmatikon-prosonton/metroo-sundikalistikon-organoseon-ergazomenon-ergodoton","Μητρώο συνδικαλιστικών οργανώσεων εργαζομένων και οργανώσεων εργοδοτών")</f>
        <v>Μητρώο συνδικαλιστικών οργανώσεων εργαζομένων και οργανώσεων εργοδοτών</v>
      </c>
      <c r="E741" t="s">
        <v>20</v>
      </c>
    </row>
    <row r="742" spans="1:5" x14ac:dyDescent="0.25">
      <c r="A742">
        <v>15609</v>
      </c>
      <c r="B742" t="s">
        <v>8</v>
      </c>
      <c r="C742" t="s">
        <v>65</v>
      </c>
      <c r="D742" t="str">
        <f>HYPERLINK("Https://www.gov.gr/ipiresies/ergasia-kai-asphalise/anergia/aitese-epidomatos-anergias","Αίτηση επιδόματος ανεργίας")</f>
        <v>Αίτηση επιδόματος ανεργίας</v>
      </c>
      <c r="E742" t="s">
        <v>66</v>
      </c>
    </row>
    <row r="743" spans="1:5" x14ac:dyDescent="0.25">
      <c r="A743">
        <v>15538</v>
      </c>
      <c r="B743" t="s">
        <v>8</v>
      </c>
      <c r="C743" t="s">
        <v>65</v>
      </c>
      <c r="D743" t="str">
        <f>HYPERLINK("Https://www.gov.gr/ipiresies/ergasia-kai-asphalise/anergia/anazetese-theseon-ergasias","Αναζήτηση θέσεων εργασίας")</f>
        <v>Αναζήτηση θέσεων εργασίας</v>
      </c>
      <c r="E743" t="s">
        <v>66</v>
      </c>
    </row>
    <row r="744" spans="1:5" x14ac:dyDescent="0.25">
      <c r="A744">
        <v>15228</v>
      </c>
      <c r="B744" t="s">
        <v>8</v>
      </c>
      <c r="C744" t="s">
        <v>65</v>
      </c>
      <c r="D744" t="str">
        <f>HYPERLINK("Https://www.gov.gr/ipiresies/ergasia-kai-asphalise/anergia/ananeose-deltiou-anergias","Ανανέωση δελτίου ανεργίας")</f>
        <v>Ανανέωση δελτίου ανεργίας</v>
      </c>
      <c r="E744" t="s">
        <v>66</v>
      </c>
    </row>
    <row r="745" spans="1:5" x14ac:dyDescent="0.25">
      <c r="A745">
        <v>15750</v>
      </c>
      <c r="B745" t="s">
        <v>8</v>
      </c>
      <c r="C745" t="s">
        <v>65</v>
      </c>
      <c r="D745" t="str">
        <f>HYPERLINK("Https://www.gov.gr/ipiresies/ergasia-kai-asphalise/anergia/bebaiose-anergias-gia-parokhe-iatropharmakeutikes-perithalpses","Βεβαίωση ανεργίας για παροχή ιατροφαρμακευτικής περίθαλψης")</f>
        <v>Βεβαίωση ανεργίας για παροχή ιατροφαρμακευτικής περίθαλψης</v>
      </c>
      <c r="E745" t="s">
        <v>66</v>
      </c>
    </row>
    <row r="746" spans="1:5" x14ac:dyDescent="0.25">
      <c r="A746">
        <v>15753</v>
      </c>
      <c r="B746" t="s">
        <v>8</v>
      </c>
      <c r="C746" t="s">
        <v>65</v>
      </c>
      <c r="D746" t="str">
        <f>HYPERLINK("Https://www.gov.gr/ipiresies/ergasia-kai-asphalise/anergia/bebaiose-autasphalises","Βεβαίωση αυτασφάλισης")</f>
        <v>Βεβαίωση αυτασφάλισης</v>
      </c>
      <c r="E746" t="s">
        <v>66</v>
      </c>
    </row>
    <row r="747" spans="1:5" x14ac:dyDescent="0.25">
      <c r="A747">
        <v>15752</v>
      </c>
      <c r="B747" t="s">
        <v>8</v>
      </c>
      <c r="C747" t="s">
        <v>65</v>
      </c>
      <c r="D747" t="str">
        <f>HYPERLINK("Https://www.gov.gr/ipiresies/ergasia-kai-asphalise/anergia/bebaiose-posou-epidoteseon","Βεβαίωση ποσού επιδοτήσεων")</f>
        <v>Βεβαίωση ποσού επιδοτήσεων</v>
      </c>
      <c r="E747" t="s">
        <v>66</v>
      </c>
    </row>
    <row r="748" spans="1:5" x14ac:dyDescent="0.25">
      <c r="A748">
        <v>15754</v>
      </c>
      <c r="B748" t="s">
        <v>8</v>
      </c>
      <c r="C748" t="s">
        <v>65</v>
      </c>
      <c r="D748" t="str">
        <f>HYPERLINK("Https://www.gov.gr/ipiresies/ergasia-kai-asphalise/anergia/bebaiose-summetokhes-se-draseis-sumbouleutikon-uperesion","Βεβαίωση συμμετοχής σε δράσεις συμβουλευτικών υπηρεσιών")</f>
        <v>Βεβαίωση συμμετοχής σε δράσεις συμβουλευτικών υπηρεσιών</v>
      </c>
      <c r="E748" t="s">
        <v>66</v>
      </c>
    </row>
    <row r="749" spans="1:5" x14ac:dyDescent="0.25">
      <c r="A749">
        <v>15751</v>
      </c>
      <c r="B749" t="s">
        <v>8</v>
      </c>
      <c r="C749" t="s">
        <v>65</v>
      </c>
      <c r="D749" t="str">
        <f>HYPERLINK("Https://www.gov.gr/ipiresies/ergasia-kai-asphalise/anergia/bebaiose-khronou-anergias","Βεβαίωση χρόνου ανεργίας")</f>
        <v>Βεβαίωση χρόνου ανεργίας</v>
      </c>
      <c r="E749" t="s">
        <v>66</v>
      </c>
    </row>
    <row r="750" spans="1:5" x14ac:dyDescent="0.25">
      <c r="A750">
        <v>15838</v>
      </c>
      <c r="B750" t="s">
        <v>8</v>
      </c>
      <c r="C750" t="s">
        <v>65</v>
      </c>
      <c r="D750" t="str">
        <f>HYPERLINK("Https://www.gov.gr/ipiresies/ergasia-kai-asphalise/anergia/bebaiose-khronou-epidotoumenes-anergias","Βεβαίωση χρόνου επιδοτούμενης ανεργίας")</f>
        <v>Βεβαίωση χρόνου επιδοτούμενης ανεργίας</v>
      </c>
      <c r="E750" t="s">
        <v>66</v>
      </c>
    </row>
    <row r="751" spans="1:5" x14ac:dyDescent="0.25">
      <c r="A751">
        <v>15524</v>
      </c>
      <c r="B751" t="s">
        <v>8</v>
      </c>
      <c r="C751" t="s">
        <v>65</v>
      </c>
      <c r="D751" t="str">
        <f>HYPERLINK("Https://www.gov.gr/ipiresies/ergasia-kai-asphalise/anergia/boethema-anergias-autotelos-kai-anexartetos-apaskholoumenon","Βοήθημα ανεργίας αυτοτελώς και ανεξαρτήτως απασχολουμένων")</f>
        <v>Βοήθημα ανεργίας αυτοτελώς και ανεξαρτήτως απασχολουμένων</v>
      </c>
      <c r="E751" t="s">
        <v>66</v>
      </c>
    </row>
    <row r="752" spans="1:5" x14ac:dyDescent="0.25">
      <c r="A752">
        <v>15610</v>
      </c>
      <c r="B752" t="s">
        <v>8</v>
      </c>
      <c r="C752" t="s">
        <v>65</v>
      </c>
      <c r="D752" t="str">
        <f>HYPERLINK("Https://www.gov.gr/ipiresies/ergasia-kai-asphalise/anergia/delose-parousias-epidoma-anergias","Δήλωση παρουσίας επιδοτούμενων ανέργων")</f>
        <v>Δήλωση παρουσίας επιδοτούμενων ανέργων</v>
      </c>
      <c r="E752" t="s">
        <v>66</v>
      </c>
    </row>
    <row r="753" spans="1:5" x14ac:dyDescent="0.25">
      <c r="A753">
        <v>15482</v>
      </c>
      <c r="B753" t="s">
        <v>8</v>
      </c>
      <c r="C753" t="s">
        <v>65</v>
      </c>
      <c r="D753" t="str">
        <f>HYPERLINK("Https://www.gov.gr/ipiresies/ergasia-kai-asphalise/anergia/diakheirise-epitagon-katartises","Διαχείριση επιταγών κατάρτισης")</f>
        <v>Διαχείριση επιταγών κατάρτισης</v>
      </c>
      <c r="E753" t="s">
        <v>66</v>
      </c>
    </row>
    <row r="754" spans="1:5" x14ac:dyDescent="0.25">
      <c r="A754">
        <v>16347</v>
      </c>
      <c r="B754" t="s">
        <v>8</v>
      </c>
      <c r="C754" t="s">
        <v>65</v>
      </c>
      <c r="D754" t="str">
        <f>HYPERLINK("Https://www.gov.gr/ipiresies/ergasia-kai-asphalise/anergia/diorthose-stoikheion-metroou-anergon-tou-oaed","Διόρθωση στοιχείων μητρώου της ΔΥΠΑ")</f>
        <v>Διόρθωση στοιχείων μητρώου της ΔΥΠΑ</v>
      </c>
      <c r="E754" t="s">
        <v>66</v>
      </c>
    </row>
    <row r="755" spans="1:5" x14ac:dyDescent="0.25">
      <c r="A755">
        <v>15301</v>
      </c>
      <c r="B755" t="s">
        <v>8</v>
      </c>
      <c r="C755" t="s">
        <v>65</v>
      </c>
      <c r="D755" t="str">
        <f>HYPERLINK("Https://www.gov.gr/ipiresies/ergasia-kai-asphalise/anergia/dorean-komistro-ath-ena-card-gia-anergous-kai-atoma-me-anaperies","Δωρεάν κόμιστρο ATH.ENA card για άνεργους και άτομα με αναπηρίες")</f>
        <v>Δωρεάν κόμιστρο ATH.ENA card για άνεργους και άτομα με αναπηρίες</v>
      </c>
      <c r="E755" t="s">
        <v>164</v>
      </c>
    </row>
    <row r="756" spans="1:5" x14ac:dyDescent="0.25">
      <c r="A756">
        <v>15780</v>
      </c>
      <c r="B756" t="s">
        <v>8</v>
      </c>
      <c r="C756" t="s">
        <v>65</v>
      </c>
      <c r="D756" t="str">
        <f>HYPERLINK("Https://www.gov.gr/ipiresies/ergasia-kai-asphalise/anergia/eidiko-epokhiko-boethema-oaed","Ειδικό εποχικό βοήθημα ΔΥΠΑ")</f>
        <v>Ειδικό εποχικό βοήθημα ΔΥΠΑ</v>
      </c>
      <c r="E756" t="s">
        <v>66</v>
      </c>
    </row>
    <row r="757" spans="1:5" x14ac:dyDescent="0.25">
      <c r="A757">
        <v>15608</v>
      </c>
      <c r="B757" t="s">
        <v>8</v>
      </c>
      <c r="C757" t="s">
        <v>65</v>
      </c>
      <c r="D757" t="str">
        <f>HYPERLINK("Https://www.gov.gr/ipiresies/ergasia-kai-asphalise/anergia/ekdose-deltiou-anergias","Έκδοση δελτίου ανεργίας")</f>
        <v>Έκδοση δελτίου ανεργίας</v>
      </c>
      <c r="E757" t="s">
        <v>66</v>
      </c>
    </row>
    <row r="758" spans="1:5" x14ac:dyDescent="0.25">
      <c r="A758">
        <v>15736</v>
      </c>
      <c r="B758" t="s">
        <v>8</v>
      </c>
      <c r="C758" t="s">
        <v>65</v>
      </c>
      <c r="D758" t="str">
        <f>HYPERLINK("Https://www.gov.gr/ipiresies/ergasia-kai-asphalise/anergia/ektakte-meniaia-apozemiose-epokhika-ergazomenon","Έκτακτη μηνιαία αποζημίωση εποχικά εργαζομένων")</f>
        <v>Έκτακτη μηνιαία αποζημίωση εποχικά εργαζομένων</v>
      </c>
      <c r="E758" t="s">
        <v>66</v>
      </c>
    </row>
    <row r="759" spans="1:5" x14ac:dyDescent="0.25">
      <c r="A759">
        <v>15624</v>
      </c>
      <c r="B759" t="s">
        <v>8</v>
      </c>
      <c r="C759" t="s">
        <v>65</v>
      </c>
      <c r="D759" t="str">
        <f>HYPERLINK("Https://www.gov.gr/ipiresies/ergasia-kai-asphalise/anergia/ektakte-oikonomike-eniskhuse-se-makrokhronia-anergous","Έκτακτη οικονομική ενίσχυση σε μακροχρόνια ανέργους")</f>
        <v>Έκτακτη οικονομική ενίσχυση σε μακροχρόνια ανέργους</v>
      </c>
      <c r="E759" t="s">
        <v>66</v>
      </c>
    </row>
    <row r="760" spans="1:5" x14ac:dyDescent="0.25">
      <c r="A760">
        <v>15332</v>
      </c>
      <c r="B760" t="s">
        <v>8</v>
      </c>
      <c r="C760" t="s">
        <v>65</v>
      </c>
      <c r="D760" t="str">
        <f>HYPERLINK("Https://www.gov.gr/ipiresies/ergasia-kai-asphalise/anergia/energopoiese-epitagon-koinonikou-kataskenotikou-tourismou","Ενεργοποίηση επιταγών κοινωνικού / κατασκηνωτικού τουρισμού")</f>
        <v>Ενεργοποίηση επιταγών κοινωνικού / κατασκηνωτικού τουρισμού</v>
      </c>
      <c r="E760" t="s">
        <v>66</v>
      </c>
    </row>
    <row r="761" spans="1:5" x14ac:dyDescent="0.25">
      <c r="A761">
        <v>16769</v>
      </c>
      <c r="B761" t="s">
        <v>8</v>
      </c>
      <c r="C761" t="s">
        <v>65</v>
      </c>
      <c r="D761" t="str">
        <f>HYPERLINK("Https://www.gov.gr/ipiresies/ergasia-kai-asphalise/anergia/enstase-dikaioukhou-programmatos-kataskenoseon-demosias-uperesias-apaskholeses-dupa","Ένσταση δικαιούχου προγράμματος κατασκηνώσεων Δημόσιας Υπηρεσίας Απασχόλησης ΔΥΠΑ")</f>
        <v>Ένσταση δικαιούχου προγράμματος κατασκηνώσεων Δημόσιας Υπηρεσίας Απασχόλησης ΔΥΠΑ</v>
      </c>
      <c r="E761" t="s">
        <v>66</v>
      </c>
    </row>
    <row r="762" spans="1:5" x14ac:dyDescent="0.25">
      <c r="A762">
        <v>16768</v>
      </c>
      <c r="B762" t="s">
        <v>8</v>
      </c>
      <c r="C762" t="s">
        <v>65</v>
      </c>
      <c r="D762" t="str">
        <f>HYPERLINK("Https://www.gov.gr/ipiresies/ergasia-kai-asphalise/anergia/enstase-kata-apophases-gia-te-me-khoregese-epidomatos-anergias","Ένσταση κατά απόφασης για τη μη χορήγηση επιδόματος ανεργίας")</f>
        <v>Ένσταση κατά απόφασης για τη μη χορήγηση επιδόματος ανεργίας</v>
      </c>
      <c r="E762" t="s">
        <v>66</v>
      </c>
    </row>
    <row r="763" spans="1:5" x14ac:dyDescent="0.25">
      <c r="A763">
        <v>16367</v>
      </c>
      <c r="B763" t="s">
        <v>8</v>
      </c>
      <c r="C763" t="s">
        <v>65</v>
      </c>
      <c r="D763" t="str">
        <f>HYPERLINK("Https://www.gov.gr/ipiresies/ergasia-kai-asphalise/anergia/eures-members","Ένταξη μελών και εταίρων στο δίκτυο EURES (EURopean Employment Services)")</f>
        <v>Ένταξη μελών και εταίρων στο δίκτυο EURES (EURopean Employment Services)</v>
      </c>
      <c r="E763" t="s">
        <v>66</v>
      </c>
    </row>
    <row r="764" spans="1:5" x14ac:dyDescent="0.25">
      <c r="A764">
        <v>15527</v>
      </c>
      <c r="B764" t="s">
        <v>8</v>
      </c>
      <c r="C764" t="s">
        <v>65</v>
      </c>
      <c r="D764" t="str">
        <f>HYPERLINK("Https://www.gov.gr/ipiresies/ergasia-kai-asphalise/anergia/epitages-agoras-biblion","Επιταγές αγοράς βιβλίων")</f>
        <v>Επιταγές αγοράς βιβλίων</v>
      </c>
      <c r="E764" t="s">
        <v>66</v>
      </c>
    </row>
    <row r="765" spans="1:5" x14ac:dyDescent="0.25">
      <c r="A765">
        <v>15528</v>
      </c>
      <c r="B765" t="s">
        <v>8</v>
      </c>
      <c r="C765" t="s">
        <v>65</v>
      </c>
      <c r="D765" t="str">
        <f>HYPERLINK("Https://www.gov.gr/ipiresies/ergasia-kai-asphalise/anergia/epitages-theamatos","Επιταγές θεάματος")</f>
        <v>Επιταγές θεάματος</v>
      </c>
      <c r="E765" t="s">
        <v>66</v>
      </c>
    </row>
    <row r="766" spans="1:5" x14ac:dyDescent="0.25">
      <c r="A766">
        <v>16411</v>
      </c>
      <c r="B766" t="s">
        <v>8</v>
      </c>
      <c r="C766" t="s">
        <v>65</v>
      </c>
      <c r="D766" t="str">
        <f>HYPERLINK("Https://www.gov.gr/ipiresies/ergasia-kai-asphalise/anergia/parokhoi-biblion-se-anergous-neous-programma-up-politismou-kai-athletismou-oaed","Πάροχοι βιβλίων σε άνεργους νέους – πρόγραμμα Υπ. Πολιτισμού και Αθλητισμού (ΔΥΠΑ)")</f>
        <v>Πάροχοι βιβλίων σε άνεργους νέους – πρόγραμμα Υπ. Πολιτισμού και Αθλητισμού (ΔΥΠΑ)</v>
      </c>
      <c r="E766" t="s">
        <v>66</v>
      </c>
    </row>
    <row r="767" spans="1:5" x14ac:dyDescent="0.25">
      <c r="A767">
        <v>15531</v>
      </c>
      <c r="B767" t="s">
        <v>8</v>
      </c>
      <c r="C767" t="s">
        <v>65</v>
      </c>
      <c r="D767" t="str">
        <f>HYPERLINK("Https://www.gov.gr/ipiresies/ergasia-kai-asphalise/anergia/parokhoi-epitagon-agoras-biblion","Πάροχοι επιταγών αγοράς βιβλίων")</f>
        <v>Πάροχοι επιταγών αγοράς βιβλίων</v>
      </c>
      <c r="E767" t="s">
        <v>66</v>
      </c>
    </row>
    <row r="768" spans="1:5" x14ac:dyDescent="0.25">
      <c r="A768">
        <v>15532</v>
      </c>
      <c r="B768" t="s">
        <v>8</v>
      </c>
      <c r="C768" t="s">
        <v>65</v>
      </c>
      <c r="D768" t="str">
        <f>HYPERLINK("Https://www.gov.gr/ipiresies/ergasia-kai-asphalise/anergia/parokhoi-epitagon-theamatos","Πάροχοι επιταγών θεάματος")</f>
        <v>Πάροχοι επιταγών θεάματος</v>
      </c>
      <c r="E768" t="s">
        <v>66</v>
      </c>
    </row>
    <row r="769" spans="1:5" x14ac:dyDescent="0.25">
      <c r="A769">
        <v>16410</v>
      </c>
      <c r="B769" t="s">
        <v>8</v>
      </c>
      <c r="C769" t="s">
        <v>65</v>
      </c>
      <c r="D769" t="str">
        <f>HYPERLINK("Https://www.gov.gr/ipiresies/ergasia-kai-asphalise/anergia/pistotika-semeiomata-agoras-biblion-se-anergous-neous-programma-up-politismou-kai-athletismou-oaed","Πιστωτικά σημειώματα αγοράς βιβλίων σε άνεργους νέους – πρόγραμμα Υπ. Πολιτισμού και Αθλητισμού (ΔΥΠΑ)")</f>
        <v>Πιστωτικά σημειώματα αγοράς βιβλίων σε άνεργους νέους – πρόγραμμα Υπ. Πολιτισμού και Αθλητισμού (ΔΥΠΑ)</v>
      </c>
      <c r="E769" t="s">
        <v>66</v>
      </c>
    </row>
    <row r="770" spans="1:5" x14ac:dyDescent="0.25">
      <c r="A770">
        <v>15526</v>
      </c>
      <c r="B770" t="s">
        <v>8</v>
      </c>
      <c r="C770" t="s">
        <v>65</v>
      </c>
      <c r="D770" t="str">
        <f>HYPERLINK("Https://www.gov.gr/ipiresies/ergasia-kai-asphalise/anergia/programmata-kataskenoseon-oaed","Προγράμματα κατασκηνώσεων Δημόσιας Υπηρεσίας Απασχόλησης ΔΥΠΑ")</f>
        <v>Προγράμματα κατασκηνώσεων Δημόσιας Υπηρεσίας Απασχόλησης ΔΥΠΑ</v>
      </c>
      <c r="E770" t="s">
        <v>66</v>
      </c>
    </row>
    <row r="771" spans="1:5" x14ac:dyDescent="0.25">
      <c r="A771">
        <v>15534</v>
      </c>
      <c r="B771" t="s">
        <v>8</v>
      </c>
      <c r="C771" t="s">
        <v>65</v>
      </c>
      <c r="D771" t="str">
        <f>HYPERLINK("Https://www.gov.gr/ipiresies/ergasia-kai-asphalise/anergia/programmata-koinophelous-kharaktera","Προγράμματα κοινωφελούς χαρακτήρα")</f>
        <v>Προγράμματα κοινωφελούς χαρακτήρα</v>
      </c>
      <c r="E771" t="s">
        <v>66</v>
      </c>
    </row>
    <row r="772" spans="1:5" x14ac:dyDescent="0.25">
      <c r="A772">
        <v>16666</v>
      </c>
      <c r="B772" t="s">
        <v>8</v>
      </c>
      <c r="C772" t="s">
        <v>65</v>
      </c>
      <c r="D772" t="str">
        <f>HYPERLINK("Https://www.gov.gr/ipiresies/ergasia-kai-asphalise/anergia/proslepse-ergasiakon-sumboulon-ston-oaed","Πρόσληψη εργασιακών συμβούλων στη ΔΥΠΑ")</f>
        <v>Πρόσληψη εργασιακών συμβούλων στη ΔΥΠΑ</v>
      </c>
      <c r="E772" t="s">
        <v>66</v>
      </c>
    </row>
    <row r="773" spans="1:5" x14ac:dyDescent="0.25">
      <c r="A773">
        <v>16346</v>
      </c>
      <c r="B773" t="s">
        <v>8</v>
      </c>
      <c r="C773" t="s">
        <v>65</v>
      </c>
      <c r="D773" t="str">
        <f>HYPERLINK("Https://www.gov.gr/ipiresies/ergasia-kai-asphalise/anergia/sumbouleutikes-uperesies-apo-to-diktuo-eures","Συμβουλευτικές υπηρεσίες από το δίκτυο EURES")</f>
        <v>Συμβουλευτικές υπηρεσίες από το δίκτυο EURES</v>
      </c>
      <c r="E773" t="s">
        <v>66</v>
      </c>
    </row>
    <row r="774" spans="1:5" x14ac:dyDescent="0.25">
      <c r="A774">
        <v>15895</v>
      </c>
      <c r="B774" t="s">
        <v>8</v>
      </c>
      <c r="C774" t="s">
        <v>65</v>
      </c>
      <c r="D774" t="str">
        <f>HYPERLINK("Https://www.gov.gr/ipiresies/ergasia-kai-asphalise/anergia/sumbouleutikes-uperesies-pros-eggegrammenous-anergous-oaed","Συμβουλευτικές υπηρεσίες προς εγγεγραμμένους ανέργους (ΔΥΠΑ)")</f>
        <v>Συμβουλευτικές υπηρεσίες προς εγγεγραμμένους ανέργους (ΔΥΠΑ)</v>
      </c>
      <c r="E774" t="s">
        <v>66</v>
      </c>
    </row>
    <row r="775" spans="1:5" x14ac:dyDescent="0.25">
      <c r="A775">
        <v>15537</v>
      </c>
      <c r="B775" t="s">
        <v>8</v>
      </c>
      <c r="C775" t="s">
        <v>65</v>
      </c>
      <c r="D775" t="str">
        <f>HYPERLINK("Https://www.gov.gr/ipiresies/ergasia-kai-asphalise/anergia/upobole-biographikou-semeiomatos","Υποβολή βιογραφικού σημειώματος")</f>
        <v>Υποβολή βιογραφικού σημειώματος</v>
      </c>
      <c r="E775" t="s">
        <v>66</v>
      </c>
    </row>
    <row r="776" spans="1:5" x14ac:dyDescent="0.25">
      <c r="A776">
        <v>16807</v>
      </c>
      <c r="B776" t="s">
        <v>8</v>
      </c>
      <c r="C776" t="s">
        <v>65</v>
      </c>
      <c r="D776" t="str">
        <f>HYPERLINK("Https://www.gov.gr/ipiresies/ergasia-kai-asphalise/anergia/upobole-enstases-apo-dikaioukho-gia-programma-koinonikou-tourismou-dupa","Υποβολή ένστασης από δικαιούχο για πρόγραμμα κοινωνικού τουρισμού (ΔΥΠΑ)")</f>
        <v>Υποβολή ένστασης από δικαιούχο για πρόγραμμα κοινωνικού τουρισμού (ΔΥΠΑ)</v>
      </c>
      <c r="E776" t="s">
        <v>66</v>
      </c>
    </row>
    <row r="777" spans="1:5" x14ac:dyDescent="0.25">
      <c r="A777">
        <v>16808</v>
      </c>
      <c r="B777" t="s">
        <v>8</v>
      </c>
      <c r="C777" t="s">
        <v>65</v>
      </c>
      <c r="D777" t="str">
        <f>HYPERLINK("Https://www.gov.gr/ipiresies/ergasia-kai-asphalise/anergia/upobole-enstases-apo-parokho-koinonikou-tourismou-dupa","Υποβολή ένστασης από πάροχο κοινωνικού τουρισμού (ΔΥΠΑ)")</f>
        <v>Υποβολή ένστασης από πάροχο κοινωνικού τουρισμού (ΔΥΠΑ)</v>
      </c>
      <c r="E777" t="s">
        <v>66</v>
      </c>
    </row>
    <row r="778" spans="1:5" x14ac:dyDescent="0.25">
      <c r="A778">
        <v>16601</v>
      </c>
      <c r="B778" t="s">
        <v>8</v>
      </c>
      <c r="C778" t="s">
        <v>46</v>
      </c>
      <c r="D778" t="str">
        <f>HYPERLINK("Https://www.gov.gr/ipiresies/ergasia-kai-asphalise/apaskholese-sto-demosio-tomea/aiteseis-proslepses-prosopikou-sto-upourgeio-politismou-kai-athletismou","Αιτήσεις πρόσληψης προσωπικού στο Υπουργείο Πολιτισμού και  Αθλητισμού")</f>
        <v>Αιτήσεις πρόσληψης προσωπικού στο Υπουργείο Πολιτισμού και  Αθλητισμού</v>
      </c>
      <c r="E778" t="s">
        <v>47</v>
      </c>
    </row>
    <row r="779" spans="1:5" x14ac:dyDescent="0.25">
      <c r="A779">
        <v>15691</v>
      </c>
      <c r="B779" t="s">
        <v>8</v>
      </c>
      <c r="C779" t="s">
        <v>46</v>
      </c>
      <c r="D779" t="str">
        <f>HYPERLINK("Https://www.gov.gr/ipiresies/ergasia-kai-asphalise/apaskholese-sto-demosio-tomea/aitese-kinetikotetas","Αίτηση κινητικότητας")</f>
        <v>Αίτηση κινητικότητας</v>
      </c>
      <c r="E779" t="s">
        <v>68</v>
      </c>
    </row>
    <row r="780" spans="1:5" x14ac:dyDescent="0.25">
      <c r="A780">
        <v>15773</v>
      </c>
      <c r="B780" t="s">
        <v>8</v>
      </c>
      <c r="C780" t="s">
        <v>46</v>
      </c>
      <c r="D780" t="str">
        <f>HYPERLINK("Https://www.gov.gr/ipiresies/ergasia-kai-asphalise/apaskholese-sto-demosio-tomea/aitese-proslepses-stous-brephonepiakous-stathmous-tou-oaed","Αίτηση πρόσληψης στους Βρεφονηπιακούς Σταθμούς της ΔΥΠΑ")</f>
        <v>Αίτηση πρόσληψης στους Βρεφονηπιακούς Σταθμούς της ΔΥΠΑ</v>
      </c>
      <c r="E780" t="s">
        <v>66</v>
      </c>
    </row>
    <row r="781" spans="1:5" x14ac:dyDescent="0.25">
      <c r="A781">
        <v>16520</v>
      </c>
      <c r="B781" t="s">
        <v>8</v>
      </c>
      <c r="C781" t="s">
        <v>46</v>
      </c>
      <c r="D781" t="str">
        <f>HYPERLINK("Https://www.gov.gr/ipiresies/ergasia-kai-asphalise/apaskholese-sto-demosio-tomea/esdda29","Αίτηση συμμετοχής στον 29ο Εισαγωγικό Διαγωνισμό της ΕΣΔΔΑ")</f>
        <v>Αίτηση συμμετοχής στον 29ο Εισαγωγικό Διαγωνισμό της ΕΣΔΔΑ</v>
      </c>
      <c r="E781" t="s">
        <v>75</v>
      </c>
    </row>
    <row r="782" spans="1:5" x14ac:dyDescent="0.25">
      <c r="A782">
        <v>15569</v>
      </c>
      <c r="B782" t="s">
        <v>8</v>
      </c>
      <c r="C782" t="s">
        <v>46</v>
      </c>
      <c r="D782" t="str">
        <f>HYPERLINK("Https://www.gov.gr/ipiresies/ergasia-kai-asphalise/apaskholese-sto-demosio-tomea/apotelesmata-diagonismon","Αποτελέσματα διαγωνισμών")</f>
        <v>Αποτελέσματα διαγωνισμών</v>
      </c>
      <c r="E782" t="s">
        <v>126</v>
      </c>
    </row>
    <row r="783" spans="1:5" x14ac:dyDescent="0.25">
      <c r="A783">
        <v>15567</v>
      </c>
      <c r="B783" t="s">
        <v>8</v>
      </c>
      <c r="C783" t="s">
        <v>46</v>
      </c>
      <c r="D783" t="str">
        <f>HYPERLINK("Https://www.gov.gr/ipiresies/ergasia-kai-asphalise/apaskholese-sto-demosio-tomea/atomikos-phakelos-upopsephiou","Ατομικός φάκελος υποψηφίου")</f>
        <v>Ατομικός φάκελος υποψηφίου</v>
      </c>
      <c r="E783" t="s">
        <v>126</v>
      </c>
    </row>
    <row r="784" spans="1:5" x14ac:dyDescent="0.25">
      <c r="A784">
        <v>15690</v>
      </c>
      <c r="B784" t="s">
        <v>8</v>
      </c>
      <c r="C784" t="s">
        <v>46</v>
      </c>
      <c r="D784" t="str">
        <f>HYPERLINK("Https://www.gov.gr/ipiresies/ergasia-kai-asphalise/apaskholese-sto-demosio-tomea/bebaiose-metroou-anthropinou-dunamikou-ellenikou-demosiou","Βεβαίωση Μητρώου Ανθρώπινου Δυναμικού Ελληνικού Δημοσίου")</f>
        <v>Βεβαίωση Μητρώου Ανθρώπινου Δυναμικού Ελληνικού Δημοσίου</v>
      </c>
      <c r="E784" t="s">
        <v>68</v>
      </c>
    </row>
    <row r="785" spans="1:5" x14ac:dyDescent="0.25">
      <c r="A785">
        <v>15853</v>
      </c>
      <c r="B785" t="s">
        <v>8</v>
      </c>
      <c r="C785" t="s">
        <v>46</v>
      </c>
      <c r="D785" t="str">
        <f>HYPERLINK("Https://www.gov.gr/ipiresies/ergasia-kai-asphalise/apaskholese-sto-demosio-tomea/bebaiose-tokon-daneiou-gia-phorologike-khrese-tameio-parakatathekon-kai-daneion","Βεβαίωση τόκων δανείου για φορολογική χρήση (Ταμείο Παρακαταθηκών και Δανείων)")</f>
        <v>Βεβαίωση τόκων δανείου για φορολογική χρήση (Ταμείο Παρακαταθηκών και Δανείων)</v>
      </c>
      <c r="E785" t="s">
        <v>143</v>
      </c>
    </row>
    <row r="786" spans="1:5" x14ac:dyDescent="0.25">
      <c r="A786">
        <v>16670</v>
      </c>
      <c r="B786" t="s">
        <v>8</v>
      </c>
      <c r="C786" t="s">
        <v>46</v>
      </c>
      <c r="D786" t="str">
        <f>HYPERLINK("Https://www.gov.gr/ipiresies/ergasia-kai-asphalise/apaskholese-sto-demosio-tomea/brabeia-psephiakes-diakuberneses","Βραβεία Ψηφιακής Διακυβέρνησης")</f>
        <v>Βραβεία Ψηφιακής Διακυβέρνησης</v>
      </c>
      <c r="E786" t="s">
        <v>26</v>
      </c>
    </row>
    <row r="787" spans="1:5" x14ac:dyDescent="0.25">
      <c r="A787">
        <v>15825</v>
      </c>
      <c r="B787" t="s">
        <v>8</v>
      </c>
      <c r="C787" t="s">
        <v>46</v>
      </c>
      <c r="D787" t="str">
        <f>HYPERLINK("Https://www.gov.gr/ipiresies/ergasia-kai-asphalise/apaskholese-sto-demosio-tomea/ekdose-kodikon-demosias-dioikeses","Έκδοση κωδικών δημόσιας διοίκησης")</f>
        <v>Έκδοση κωδικών δημόσιας διοίκησης</v>
      </c>
      <c r="E787" t="s">
        <v>26</v>
      </c>
    </row>
    <row r="788" spans="1:5" x14ac:dyDescent="0.25">
      <c r="A788">
        <v>15760</v>
      </c>
      <c r="B788" t="s">
        <v>8</v>
      </c>
      <c r="C788" t="s">
        <v>46</v>
      </c>
      <c r="D788" t="str">
        <f>HYPERLINK("Https://www.gov.gr/ipiresies/ergasia-kai-asphalise/apaskholese-sto-demosio-tomea/meniaia-ekkatharistika-misthodotoumenon-demosiou","Μηνιαία εκκαθαριστικά μισθοδοτούμενων δημοσίου")</f>
        <v>Μηνιαία εκκαθαριστικά μισθοδοτούμενων δημοσίου</v>
      </c>
      <c r="E788" t="s">
        <v>15</v>
      </c>
    </row>
    <row r="789" spans="1:5" x14ac:dyDescent="0.25">
      <c r="A789">
        <v>15799</v>
      </c>
      <c r="B789" t="s">
        <v>8</v>
      </c>
      <c r="C789" t="s">
        <v>46</v>
      </c>
      <c r="D789" t="str">
        <f>HYPERLINK("Https://www.gov.gr/ipiresies/ergasia-kai-asphalise/apaskholese-sto-demosio-tomea/metroo-kuriou-didaktikou-prosopikou-tou-ethnikou-kentrou-demosias-dioikeses-kai-autodioikeses-ekdda","Μητρώο κύριου διδακτικού προσωπικού του Εθνικού Κέντρου Δημόσιας Διοίκησης και Αυτοδιοίκησης (ΕΚΔΔΑ)")</f>
        <v>Μητρώο κύριου διδακτικού προσωπικού του Εθνικού Κέντρου Δημόσιας Διοίκησης και Αυτοδιοίκησης (ΕΚΔΔΑ)</v>
      </c>
      <c r="E789" t="s">
        <v>75</v>
      </c>
    </row>
    <row r="790" spans="1:5" x14ac:dyDescent="0.25">
      <c r="A790">
        <v>15568</v>
      </c>
      <c r="B790" t="s">
        <v>8</v>
      </c>
      <c r="C790" t="s">
        <v>46</v>
      </c>
      <c r="D790" t="str">
        <f>HYPERLINK("Https://www.gov.gr/ipiresies/ergasia-kai-asphalise/apaskholese-sto-demosio-tomea/summetokhe-se-diagonismo","Συμμετοχή σε διαγωνισμό")</f>
        <v>Συμμετοχή σε διαγωνισμό</v>
      </c>
      <c r="E790" t="s">
        <v>126</v>
      </c>
    </row>
    <row r="791" spans="1:5" x14ac:dyDescent="0.25">
      <c r="A791">
        <v>15570</v>
      </c>
      <c r="B791" t="s">
        <v>8</v>
      </c>
      <c r="C791" t="s">
        <v>46</v>
      </c>
      <c r="D791" t="str">
        <f>HYPERLINK("Https://www.gov.gr/ipiresies/ergasia-kai-asphalise/apaskholese-sto-demosio-tomea/upobole-enstases-se-diagonismo","Υποβολή ένστασης σε διαγωνισμό")</f>
        <v>Υποβολή ένστασης σε διαγωνισμό</v>
      </c>
      <c r="E791" t="s">
        <v>126</v>
      </c>
    </row>
    <row r="792" spans="1:5" x14ac:dyDescent="0.25">
      <c r="A792">
        <v>15529</v>
      </c>
      <c r="B792" t="s">
        <v>8</v>
      </c>
      <c r="C792" t="s">
        <v>168</v>
      </c>
      <c r="D792" t="str">
        <f>HYPERLINK("Https://www.gov.gr/ipiresies/ergasia-kai-asphalise/apozemioseis-kai-parokhes/eidike-adeia-prostasias-metrotetas","Ειδική άδεια προστασίας μητρότητας")</f>
        <v>Ειδική άδεια προστασίας μητρότητας</v>
      </c>
      <c r="E792" t="s">
        <v>66</v>
      </c>
    </row>
    <row r="793" spans="1:5" x14ac:dyDescent="0.25">
      <c r="A793">
        <v>16274</v>
      </c>
      <c r="B793" t="s">
        <v>8</v>
      </c>
      <c r="C793" t="s">
        <v>168</v>
      </c>
      <c r="D793" t="str">
        <f>HYPERLINK("Https://www.gov.gr/ipiresies/ergasia-kai-asphalise/apozemioseis-kai-parokhes/epidoma-astheneias-eephka","Επίδομα ασθενείας (eΕΦΚΑ)")</f>
        <v>Επίδομα ασθενείας (eΕΦΚΑ)</v>
      </c>
      <c r="E793" t="s">
        <v>44</v>
      </c>
    </row>
    <row r="794" spans="1:5" x14ac:dyDescent="0.25">
      <c r="A794">
        <v>16618</v>
      </c>
      <c r="B794" t="s">
        <v>8</v>
      </c>
      <c r="C794" t="s">
        <v>168</v>
      </c>
      <c r="D794" t="str">
        <f>HYPERLINK("Https://www.gov.gr/ipiresies/ergasia-kai-asphalise/apozemioseis-kai-parokhes/epidoma-gonikes-adeias","Επίδομα γονικής άδειας")</f>
        <v>Επίδομα γονικής άδειας</v>
      </c>
      <c r="E794" t="s">
        <v>66</v>
      </c>
    </row>
    <row r="795" spans="1:5" x14ac:dyDescent="0.25">
      <c r="A795">
        <v>15530</v>
      </c>
      <c r="B795" t="s">
        <v>8</v>
      </c>
      <c r="C795" t="s">
        <v>168</v>
      </c>
      <c r="D795" t="str">
        <f>HYPERLINK("Https://www.gov.gr/ipiresies/ergasia-kai-asphalise/apozemioseis-kai-parokhes/parohoi-tourismou","Πάροχοι κοινωνικού τουρισμού")</f>
        <v>Πάροχοι κοινωνικού τουρισμού</v>
      </c>
      <c r="E795" t="s">
        <v>66</v>
      </c>
    </row>
    <row r="796" spans="1:5" x14ac:dyDescent="0.25">
      <c r="A796">
        <v>16813</v>
      </c>
      <c r="B796" t="s">
        <v>8</v>
      </c>
      <c r="C796" t="s">
        <v>168</v>
      </c>
      <c r="D796" t="str">
        <f>HYPERLINK("Https://www.gov.gr/ipiresies/ergasia-kai-asphalise/apozemioseis-kai-parokhes/parokhoi-koinonikou-tourismou-gia-suntaxioukhous-eephka-proen-oaee","Πάροχοι κοινωνικού τουρισμού για συνταξιούχους eΕΦΚΑ (πρώην ΟΑΕΕ)")</f>
        <v>Πάροχοι κοινωνικού τουρισμού για συνταξιούχους eΕΦΚΑ (πρώην ΟΑΕΕ)</v>
      </c>
      <c r="E796" t="s">
        <v>66</v>
      </c>
    </row>
    <row r="797" spans="1:5" x14ac:dyDescent="0.25">
      <c r="A797">
        <v>15525</v>
      </c>
      <c r="B797" t="s">
        <v>8</v>
      </c>
      <c r="C797" t="s">
        <v>168</v>
      </c>
      <c r="D797" t="str">
        <f>HYPERLINK("Https://www.gov.gr/ipiresies/ergasia-kai-asphalise/apozemioseis-kai-parokhes/koinonikos-tourismos","Προγράμματα κοινωνικού τουρισμού (ΔΥΠΑ)")</f>
        <v>Προγράμματα κοινωνικού τουρισμού (ΔΥΠΑ)</v>
      </c>
      <c r="E797" t="s">
        <v>66</v>
      </c>
    </row>
    <row r="798" spans="1:5" x14ac:dyDescent="0.25">
      <c r="A798">
        <v>16804</v>
      </c>
      <c r="B798" t="s">
        <v>8</v>
      </c>
      <c r="C798" t="s">
        <v>168</v>
      </c>
      <c r="D798" t="str">
        <f>HYPERLINK("Https://www.gov.gr/ipiresies/ergasia-kai-asphalise/apozemioseis-kai-parokhes/programmata-koinonikou-tourismou-gia-suntaxioukhous-eephka-proen-oaee","Προγράμματα κοινωνικού τουρισμού για συνταξιούχους eΕΦΚΑ (πρώην ΟΑΕΕ)")</f>
        <v>Προγράμματα κοινωνικού τουρισμού για συνταξιούχους eΕΦΚΑ (πρώην ΟΑΕΕ)</v>
      </c>
      <c r="E798" t="s">
        <v>66</v>
      </c>
    </row>
    <row r="799" spans="1:5" x14ac:dyDescent="0.25">
      <c r="A799">
        <v>15604</v>
      </c>
      <c r="B799" t="s">
        <v>8</v>
      </c>
      <c r="C799" t="s">
        <v>168</v>
      </c>
      <c r="D799" t="str">
        <f>HYPERLINK("Https://www.gov.gr/ipiresies/ergasia-kai-asphalise/apozemioseis-kai-parokhes/prosopopoiemene-plerophorese-misthotou-ergane","Προσωποποιημένη πληροφόρηση μισθωτού (Εργάνη)")</f>
        <v>Προσωποποιημένη πληροφόρηση μισθωτού (Εργάνη)</v>
      </c>
      <c r="E799" t="s">
        <v>20</v>
      </c>
    </row>
    <row r="800" spans="1:5" x14ac:dyDescent="0.25">
      <c r="A800">
        <v>16173</v>
      </c>
      <c r="B800" t="s">
        <v>8</v>
      </c>
      <c r="C800" t="s">
        <v>168</v>
      </c>
      <c r="D800" t="str">
        <f>HYPERLINK("Https://www.gov.gr/ipiresies/ergasia-kai-asphalise/apozemioseis-kai-parokhes/sumpleromatikes-parokhes-metrotetas","Συμπληρωματικές παροχές μητρότητας")</f>
        <v>Συμπληρωματικές παροχές μητρότητας</v>
      </c>
      <c r="E800" t="s">
        <v>66</v>
      </c>
    </row>
    <row r="801" spans="1:5" x14ac:dyDescent="0.25">
      <c r="A801">
        <v>16317</v>
      </c>
      <c r="B801" t="s">
        <v>8</v>
      </c>
      <c r="C801" t="s">
        <v>118</v>
      </c>
      <c r="D801" t="str">
        <f>HYPERLINK("Https://www.gov.gr/ipiresies/ergasia-kai-asphalise/asphalise/apographe-kai-asphalistike-ikanoteta-melon-oikogeneias-eephka","Απογραφή και ασφαλιστική ικανότητα μελών οικογένειας (eΕΦΚΑ)")</f>
        <v>Απογραφή και ασφαλιστική ικανότητα μελών οικογένειας (eΕΦΚΑ)</v>
      </c>
      <c r="E801" t="s">
        <v>44</v>
      </c>
    </row>
    <row r="802" spans="1:5" x14ac:dyDescent="0.25">
      <c r="A802">
        <v>15240</v>
      </c>
      <c r="B802" t="s">
        <v>8</v>
      </c>
      <c r="C802" t="s">
        <v>118</v>
      </c>
      <c r="D802" t="str">
        <f>HYPERLINK("Https://www.gov.gr/ipiresies/ergasia-kai-asphalise/asphalise/asphalistike-ikanoteta","Ασφαλιστική ικανότητα")</f>
        <v>Ασφαλιστική ικανότητα</v>
      </c>
      <c r="E802" t="s">
        <v>44</v>
      </c>
    </row>
    <row r="803" spans="1:5" x14ac:dyDescent="0.25">
      <c r="A803">
        <v>15241</v>
      </c>
      <c r="B803" t="s">
        <v>8</v>
      </c>
      <c r="C803" t="s">
        <v>118</v>
      </c>
      <c r="D803" t="str">
        <f>HYPERLINK("Https://www.gov.gr/ipiresies/ergasia-kai-asphalise/asphalise/asphalistiko-biographiko","Ασφαλιστικό βιογραφικό")</f>
        <v>Ασφαλιστικό βιογραφικό</v>
      </c>
      <c r="E803" t="s">
        <v>44</v>
      </c>
    </row>
    <row r="804" spans="1:5" x14ac:dyDescent="0.25">
      <c r="A804">
        <v>15243</v>
      </c>
      <c r="B804" t="s">
        <v>8</v>
      </c>
      <c r="C804" t="s">
        <v>118</v>
      </c>
      <c r="D804" t="str">
        <f>HYPERLINK("Https://www.gov.gr/ipiresies/ergasia-kai-asphalise/asphalise/atomika-stoikheia-asphalises","Ατομικά στοιχεία ασφάλισης")</f>
        <v>Ατομικά στοιχεία ασφάλισης</v>
      </c>
      <c r="E804" t="s">
        <v>44</v>
      </c>
    </row>
    <row r="805" spans="1:5" x14ac:dyDescent="0.25">
      <c r="A805">
        <v>15244</v>
      </c>
      <c r="B805" t="s">
        <v>8</v>
      </c>
      <c r="C805" t="s">
        <v>118</v>
      </c>
      <c r="D805" t="str">
        <f>HYPERLINK("Https://www.gov.gr/ipiresies/ergasia-kai-asphalise/asphalise/atomikos-logariasmos-asphalises-apaskholoumenon","Ατομικός Λογαριασμός Ασφάλισης Απασχολουμένων")</f>
        <v>Ατομικός Λογαριασμός Ασφάλισης Απασχολουμένων</v>
      </c>
      <c r="E805" t="s">
        <v>44</v>
      </c>
    </row>
    <row r="806" spans="1:5" x14ac:dyDescent="0.25">
      <c r="A806">
        <v>15245</v>
      </c>
      <c r="B806" t="s">
        <v>8</v>
      </c>
      <c r="C806" t="s">
        <v>118</v>
      </c>
      <c r="D806" t="str">
        <f>HYPERLINK("Https://www.gov.gr/ipiresies/ergasia-kai-asphalise/asphalise/atomikos-logariasmos-asphalises-misthoton","Ατομικός λογαριασμός ασφάλισης μισθωτών")</f>
        <v>Ατομικός λογαριασμός ασφάλισης μισθωτών</v>
      </c>
      <c r="E806" t="s">
        <v>44</v>
      </c>
    </row>
    <row r="807" spans="1:5" x14ac:dyDescent="0.25">
      <c r="A807">
        <v>15246</v>
      </c>
      <c r="B807" t="s">
        <v>8</v>
      </c>
      <c r="C807" t="s">
        <v>118</v>
      </c>
      <c r="D807" t="str">
        <f>HYPERLINK("Https://www.gov.gr/ipiresies/ergasia-kai-asphalise/asphalise/bebaioseis-eisphoron-eephka","Βεβαιώσεις εισφορών (eΕΦΚΑ)")</f>
        <v>Βεβαιώσεις εισφορών (eΕΦΚΑ)</v>
      </c>
      <c r="E807" t="s">
        <v>44</v>
      </c>
    </row>
    <row r="808" spans="1:5" x14ac:dyDescent="0.25">
      <c r="A808">
        <v>15247</v>
      </c>
      <c r="B808" t="s">
        <v>8</v>
      </c>
      <c r="C808" t="s">
        <v>118</v>
      </c>
      <c r="D808" t="str">
        <f>HYPERLINK("Https://www.gov.gr/ipiresies/ergasia-kai-asphalise/asphalise/bebaioseis-eisphoron-p-oaee","Βεβαιώσεις εισφορών π. ΟΑΕΕ")</f>
        <v>Βεβαιώσεις εισφορών π. ΟΑΕΕ</v>
      </c>
      <c r="E808" t="s">
        <v>44</v>
      </c>
    </row>
    <row r="809" spans="1:5" x14ac:dyDescent="0.25">
      <c r="A809">
        <v>15248</v>
      </c>
      <c r="B809" t="s">
        <v>8</v>
      </c>
      <c r="C809" t="s">
        <v>118</v>
      </c>
      <c r="D809" t="str">
        <f>HYPERLINK("Https://www.gov.gr/ipiresies/ergasia-kai-asphalise/asphalise/bebaioseis-eisphoron-p-oga","Βεβαιώσεις εισφορών π. ΟΓΑ")</f>
        <v>Βεβαιώσεις εισφορών π. ΟΓΑ</v>
      </c>
      <c r="E809" t="s">
        <v>44</v>
      </c>
    </row>
    <row r="810" spans="1:5" x14ac:dyDescent="0.25">
      <c r="A810">
        <v>15249</v>
      </c>
      <c r="B810" t="s">
        <v>8</v>
      </c>
      <c r="C810" t="s">
        <v>118</v>
      </c>
      <c r="D810" t="str">
        <f>HYPERLINK("Https://www.gov.gr/ipiresies/ergasia-kai-asphalise/asphalise/bebaioseis-eisphoron-p-tsau","Βεβαιώσεις εισφορών π. ΤΣΑΥ")</f>
        <v>Βεβαιώσεις εισφορών π. ΤΣΑΥ</v>
      </c>
      <c r="E810" t="s">
        <v>44</v>
      </c>
    </row>
    <row r="811" spans="1:5" x14ac:dyDescent="0.25">
      <c r="A811">
        <v>15250</v>
      </c>
      <c r="B811" t="s">
        <v>8</v>
      </c>
      <c r="C811" t="s">
        <v>118</v>
      </c>
      <c r="D811" t="str">
        <f>HYPERLINK("Https://www.gov.gr/ipiresies/ergasia-kai-asphalise/asphalise/bebaioseis-eisphoron-p-tsmede","Βεβαιώσεις εισφορών π. ΤΣΜΕΔΕ")</f>
        <v>Βεβαιώσεις εισφορών π. ΤΣΜΕΔΕ</v>
      </c>
      <c r="E811" t="s">
        <v>44</v>
      </c>
    </row>
    <row r="812" spans="1:5" x14ac:dyDescent="0.25">
      <c r="A812">
        <v>16792</v>
      </c>
      <c r="B812" t="s">
        <v>8</v>
      </c>
      <c r="C812" t="s">
        <v>118</v>
      </c>
      <c r="D812" t="str">
        <f>HYPERLINK("Https://www.gov.gr/ipiresies/ergasia-kai-asphalise/asphalise/bebaioseis-katablethenton-merismaton-gia-phorologike-khrese","Βεβαιώσεις καταβληθέντων μερισμάτων για φορολογική χρήση")</f>
        <v>Βεβαιώσεις καταβληθέντων μερισμάτων για φορολογική χρήση</v>
      </c>
      <c r="E812" t="s">
        <v>135</v>
      </c>
    </row>
    <row r="813" spans="1:5" x14ac:dyDescent="0.25">
      <c r="A813">
        <v>15794</v>
      </c>
      <c r="B813" t="s">
        <v>8</v>
      </c>
      <c r="C813" t="s">
        <v>118</v>
      </c>
      <c r="D813" t="str">
        <f>HYPERLINK("Https://www.gov.gr/ipiresies/ergasia-kai-asphalise/asphalise/bebaiose-apographes-eephka","Βεβαίωση απογραφής (eΕΦΚΑ)")</f>
        <v>Βεβαίωση απογραφής (eΕΦΚΑ)</v>
      </c>
      <c r="E813" t="s">
        <v>44</v>
      </c>
    </row>
    <row r="814" spans="1:5" x14ac:dyDescent="0.25">
      <c r="A814">
        <v>16119</v>
      </c>
      <c r="B814" t="s">
        <v>8</v>
      </c>
      <c r="C814" t="s">
        <v>118</v>
      </c>
      <c r="D814" t="str">
        <f>HYPERLINK("Https://www.gov.gr/ipiresies/ergasia-kai-asphalise/asphalise/bebaiose-epaneggraphes-me-misthoton-eephka","Βεβαίωση επανεγγραφής μη μισθωτών (eΕΦΚΑ)")</f>
        <v>Βεβαίωση επανεγγραφής μη μισθωτών (eΕΦΚΑ)</v>
      </c>
      <c r="E814" t="s">
        <v>44</v>
      </c>
    </row>
    <row r="815" spans="1:5" x14ac:dyDescent="0.25">
      <c r="A815">
        <v>15805</v>
      </c>
      <c r="B815" t="s">
        <v>8</v>
      </c>
      <c r="C815" t="s">
        <v>118</v>
      </c>
      <c r="D815" t="str">
        <f>HYPERLINK("Https://www.gov.gr/ipiresies/ergasia-kai-asphalise/asphalise/bebaiose-prouperesias-eephka","Βεβαίωση προϋπηρεσίας (eΕΦΚΑ)")</f>
        <v>Βεβαίωση προϋπηρεσίας (eΕΦΚΑ)</v>
      </c>
      <c r="E815" t="s">
        <v>44</v>
      </c>
    </row>
    <row r="816" spans="1:5" x14ac:dyDescent="0.25">
      <c r="A816">
        <v>15808</v>
      </c>
      <c r="B816" t="s">
        <v>8</v>
      </c>
      <c r="C816" t="s">
        <v>118</v>
      </c>
      <c r="D816" t="str">
        <f>HYPERLINK("Https://www.gov.gr/ipiresies/ergasia-kai-asphalise/asphalise/bebaiose-upoboles-apographikes-deloses-me-misthoton-eephka","Βεβαίωση υποβολής απογραφικής δήλωσης μη μισθωτών (eΕΦΚΑ)")</f>
        <v>Βεβαίωση υποβολής απογραφικής δήλωσης μη μισθωτών (eΕΦΚΑ)</v>
      </c>
      <c r="E816" t="s">
        <v>44</v>
      </c>
    </row>
    <row r="817" spans="1:5" x14ac:dyDescent="0.25">
      <c r="A817">
        <v>16469</v>
      </c>
      <c r="B817" t="s">
        <v>8</v>
      </c>
      <c r="C817" t="s">
        <v>118</v>
      </c>
      <c r="D817" t="str">
        <f>HYPERLINK("Https://www.gov.gr/ipiresies/ergasia-kai-asphalise/asphalise/delose-paralleles-misthotes-apaskholeses-energon-me-misthoton-asphalismenon","Δήλωση παράλληλης μισθωτής απασχόλησης ενεργών μη μισθωτών ασφαλισμένων")</f>
        <v>Δήλωση παράλληλης μισθωτής απασχόλησης ενεργών μη μισθωτών ασφαλισμένων</v>
      </c>
      <c r="E817" t="s">
        <v>44</v>
      </c>
    </row>
    <row r="818" spans="1:5" x14ac:dyDescent="0.25">
      <c r="A818">
        <v>16485</v>
      </c>
      <c r="B818" t="s">
        <v>8</v>
      </c>
      <c r="C818" t="s">
        <v>118</v>
      </c>
      <c r="D818" t="str">
        <f>HYPERLINK("Https://www.gov.gr/ipiresies/ergasia-kai-asphalise/asphalise/eisphores-ergaton-ges","Εισφορές εργατών γης")</f>
        <v>Εισφορές εργατών γης</v>
      </c>
      <c r="E818" t="s">
        <v>44</v>
      </c>
    </row>
    <row r="819" spans="1:5" x14ac:dyDescent="0.25">
      <c r="A819">
        <v>15320</v>
      </c>
      <c r="B819" t="s">
        <v>8</v>
      </c>
      <c r="C819" t="s">
        <v>118</v>
      </c>
      <c r="D819" t="str">
        <f>HYPERLINK("Https://www.gov.gr/ipiresies/ergasia-kai-asphalise/asphalise/eisphores-me-misthoton-eephka","Εισφορές μη μισθωτών (eΕΦΚΑ)")</f>
        <v>Εισφορές μη μισθωτών (eΕΦΚΑ)</v>
      </c>
      <c r="E819" t="s">
        <v>44</v>
      </c>
    </row>
    <row r="820" spans="1:5" x14ac:dyDescent="0.25">
      <c r="A820">
        <v>15319</v>
      </c>
      <c r="B820" t="s">
        <v>8</v>
      </c>
      <c r="C820" t="s">
        <v>118</v>
      </c>
      <c r="D820" t="str">
        <f>HYPERLINK("Https://www.gov.gr/ipiresies/ergasia-kai-asphalise/asphalise/eisphores-me-misthoton-eteaep","Εισφορές μη μισθωτών ΕΤΕΑΕΠ")</f>
        <v>Εισφορές μη μισθωτών ΕΤΕΑΕΠ</v>
      </c>
      <c r="E820" t="s">
        <v>7</v>
      </c>
    </row>
    <row r="821" spans="1:5" x14ac:dyDescent="0.25">
      <c r="A821">
        <v>15324</v>
      </c>
      <c r="B821" t="s">
        <v>8</v>
      </c>
      <c r="C821" t="s">
        <v>118</v>
      </c>
      <c r="D821" t="str">
        <f>HYPERLINK("Https://www.gov.gr/ipiresies/ergasia-kai-asphalise/asphalise/ekkatharise-me-misthoton","Εκκαθάριση μη μισθωτών")</f>
        <v>Εκκαθάριση μη μισθωτών</v>
      </c>
      <c r="E821" t="s">
        <v>44</v>
      </c>
    </row>
    <row r="822" spans="1:5" x14ac:dyDescent="0.25">
      <c r="A822">
        <v>16789</v>
      </c>
      <c r="B822" t="s">
        <v>8</v>
      </c>
      <c r="C822" t="s">
        <v>118</v>
      </c>
      <c r="D822" t="str">
        <f>HYPERLINK("Https://www.gov.gr/ipiresies/ergasia-kai-asphalise/asphalise/enemerose-gia-anaprosarmoge-merismaton-mtpu","Ενημέρωση για αναπροσαρμογή μερισμάτων ΜΤΠΥ")</f>
        <v>Ενημέρωση για αναπροσαρμογή μερισμάτων ΜΤΠΥ</v>
      </c>
      <c r="E822" t="s">
        <v>135</v>
      </c>
    </row>
    <row r="823" spans="1:5" x14ac:dyDescent="0.25">
      <c r="A823">
        <v>16791</v>
      </c>
      <c r="B823" t="s">
        <v>8</v>
      </c>
      <c r="C823" t="s">
        <v>118</v>
      </c>
      <c r="D823" t="str">
        <f>HYPERLINK("Https://www.gov.gr/ipiresies/ergasia-kai-asphalise/asphalise/enemerose-merismatoukhon-tou-mtpu-gia-apophaseis-kanonismou-ton-merismaton","Ενημέρωση μερισματούχων του ΜΤΠΥ για αποφάσεις κανονισμού των μερισμάτων")</f>
        <v>Ενημέρωση μερισματούχων του ΜΤΠΥ για αποφάσεις κανονισμού των μερισμάτων</v>
      </c>
      <c r="E823" t="s">
        <v>135</v>
      </c>
    </row>
    <row r="824" spans="1:5" x14ac:dyDescent="0.25">
      <c r="A824">
        <v>16790</v>
      </c>
      <c r="B824" t="s">
        <v>8</v>
      </c>
      <c r="C824" t="s">
        <v>118</v>
      </c>
      <c r="D824" t="str">
        <f>HYPERLINK("Https://www.gov.gr/ipiresies/ergasia-kai-asphalise/asphalise/enemerotiko-semeioma-merismaton-mtpu","Ενημερωτικό σημείωμα μερισμάτων ΜΤΠΥ")</f>
        <v>Ενημερωτικό σημείωμα μερισμάτων ΜΤΠΥ</v>
      </c>
      <c r="E824" t="s">
        <v>135</v>
      </c>
    </row>
    <row r="825" spans="1:5" x14ac:dyDescent="0.25">
      <c r="A825">
        <v>16118</v>
      </c>
      <c r="B825" t="s">
        <v>8</v>
      </c>
      <c r="C825" t="s">
        <v>118</v>
      </c>
      <c r="D825" t="str">
        <f>HYPERLINK("Https://www.gov.gr/ipiresies/ergasia-kai-asphalise/asphalise/epiloge-asphalistikes-kategorias-kurias-kai-epikourikes-asphalises-kai-ephapax-eephka","Επιλογή ασφαλιστικής κατηγορίας κύριας και επικουρικής ασφάλισης και εφάπαξ (eΕΦΚΑ)")</f>
        <v>Επιλογή ασφαλιστικής κατηγορίας κύριας και επικουρικής ασφάλισης και εφάπαξ (eΕΦΚΑ)</v>
      </c>
      <c r="E825" t="s">
        <v>44</v>
      </c>
    </row>
    <row r="826" spans="1:5" x14ac:dyDescent="0.25">
      <c r="A826">
        <v>15580</v>
      </c>
      <c r="B826" t="s">
        <v>8</v>
      </c>
      <c r="C826" t="s">
        <v>118</v>
      </c>
      <c r="D826" t="str">
        <f>HYPERLINK("Https://www.gov.gr/ipiresies/ergasia-kai-asphalise/asphalise/europaike-karta-asphalises-astheneias","Ευρωπαϊκή Κάρτα Ασφάλισης Ασθενείας")</f>
        <v>Ευρωπαϊκή Κάρτα Ασφάλισης Ασθενείας</v>
      </c>
      <c r="E826" t="s">
        <v>44</v>
      </c>
    </row>
    <row r="827" spans="1:5" x14ac:dyDescent="0.25">
      <c r="A827">
        <v>16815</v>
      </c>
      <c r="B827" t="s">
        <v>8</v>
      </c>
      <c r="C827" t="s">
        <v>118</v>
      </c>
      <c r="D827" t="str">
        <f>HYPERLINK("Https://www.gov.gr/ipiresies/ergasia-kai-asphalise/asphalise/elektronika-aitemata-gia-uperesies-tou-mtpu","Ηλεκτρονικά αιτήματα για υπηρεσίες του ΜΤΠΥ")</f>
        <v>Ηλεκτρονικά αιτήματα για υπηρεσίες του ΜΤΠΥ</v>
      </c>
      <c r="E827" t="s">
        <v>135</v>
      </c>
    </row>
    <row r="828" spans="1:5" x14ac:dyDescent="0.25">
      <c r="A828">
        <v>15398</v>
      </c>
      <c r="B828" t="s">
        <v>8</v>
      </c>
      <c r="C828" t="s">
        <v>118</v>
      </c>
      <c r="D828" t="str">
        <f>HYPERLINK("Https://www.gov.gr/ipiresies/ergasia-kai-asphalise/asphalise/kataboles-me-misthoton","Καταβολές μη μισθωτών")</f>
        <v>Καταβολές μη μισθωτών</v>
      </c>
      <c r="E828" t="s">
        <v>44</v>
      </c>
    </row>
    <row r="829" spans="1:5" x14ac:dyDescent="0.25">
      <c r="A829">
        <v>16728</v>
      </c>
      <c r="B829" t="s">
        <v>8</v>
      </c>
      <c r="C829" t="s">
        <v>118</v>
      </c>
      <c r="D829" t="str">
        <f>HYPERLINK("Https://www.gov.gr/ipiresies/ergasia-kai-asphalise/asphalise/kataggelia-ergazomenou-delose-apaskholeses-eephka","Καταγγελία εργαζόμενου - δήλωση απασχόλησης (eΕΦΚΑ)")</f>
        <v>Καταγγελία εργαζόμενου - δήλωση απασχόλησης (eΕΦΚΑ)</v>
      </c>
      <c r="E829" t="s">
        <v>44</v>
      </c>
    </row>
    <row r="830" spans="1:5" x14ac:dyDescent="0.25">
      <c r="A830">
        <v>15807</v>
      </c>
      <c r="B830" t="s">
        <v>8</v>
      </c>
      <c r="C830" t="s">
        <v>118</v>
      </c>
      <c r="D830" t="str">
        <f>HYPERLINK("Https://www.gov.gr/ipiresies/ergasia-kai-asphalise/asphalise/lexe-asphalises-me-misthoton-eephka","Λήξη ασφάλισης μη μισθωτών (eΕΦΚΑ)")</f>
        <v>Λήξη ασφάλισης μη μισθωτών (eΕΦΚΑ)</v>
      </c>
      <c r="E830" t="s">
        <v>44</v>
      </c>
    </row>
    <row r="831" spans="1:5" x14ac:dyDescent="0.25">
      <c r="A831">
        <v>16725</v>
      </c>
      <c r="B831" t="s">
        <v>8</v>
      </c>
      <c r="C831" t="s">
        <v>118</v>
      </c>
      <c r="D831" t="str">
        <f>HYPERLINK("Https://www.gov.gr/ipiresies/ergasia-kai-asphalise/asphalise/mathe-pou-anekeis-e-ephka","Μάθε που ανήκεις (eΕΦΚΑ)")</f>
        <v>Μάθε που ανήκεις (eΕΦΚΑ)</v>
      </c>
      <c r="E831" t="s">
        <v>44</v>
      </c>
    </row>
    <row r="832" spans="1:5" x14ac:dyDescent="0.25">
      <c r="A832">
        <v>15806</v>
      </c>
      <c r="B832" t="s">
        <v>8</v>
      </c>
      <c r="C832" t="s">
        <v>118</v>
      </c>
      <c r="D832" t="str">
        <f>HYPERLINK("Https://www.gov.gr/ipiresies/ergasia-kai-asphalise/asphalise/metabole-drasteriotetas-me-misthoton-eephka","Μεταβολή δραστηριότητας μη μισθωτών (eΕΦΚΑ)")</f>
        <v>Μεταβολή δραστηριότητας μη μισθωτών (eΕΦΚΑ)</v>
      </c>
      <c r="E832" t="s">
        <v>44</v>
      </c>
    </row>
    <row r="833" spans="1:5" x14ac:dyDescent="0.25">
      <c r="A833">
        <v>15466</v>
      </c>
      <c r="B833" t="s">
        <v>8</v>
      </c>
      <c r="C833" t="s">
        <v>118</v>
      </c>
      <c r="D833" t="str">
        <f>HYPERLINK("Https://www.gov.gr/ipiresies/ergasia-kai-asphalise/asphalise/opheiles-me-misthoton","Οφειλές μη μισθωτών")</f>
        <v>Οφειλές μη μισθωτών</v>
      </c>
      <c r="E833" t="s">
        <v>44</v>
      </c>
    </row>
    <row r="834" spans="1:5" x14ac:dyDescent="0.25">
      <c r="A834">
        <v>16817</v>
      </c>
      <c r="B834" t="s">
        <v>8</v>
      </c>
      <c r="C834" t="s">
        <v>118</v>
      </c>
      <c r="D834" t="str">
        <f>HYPERLINK("Https://www.gov.gr/ipiresies/ergasia-kai-asphalise/asphalise/proairetike-sunekhise-tes-asphalises-me-misthoton","Προαιρετική συνέχιση της ασφάλισης μη μισθωτών")</f>
        <v>Προαιρετική συνέχιση της ασφάλισης μη μισθωτών</v>
      </c>
      <c r="E834" t="s">
        <v>44</v>
      </c>
    </row>
    <row r="835" spans="1:5" x14ac:dyDescent="0.25">
      <c r="A835">
        <v>15334</v>
      </c>
      <c r="B835" t="s">
        <v>8</v>
      </c>
      <c r="C835" t="s">
        <v>118</v>
      </c>
      <c r="D835" t="str">
        <f>HYPERLINK("Https://www.gov.gr/ipiresies/ergasia-kai-asphalise/asphalise/sumbaseis-asphalismenon-ergazomenon-me-deltio-parokhes-uperesion-se-1-e-2-ergodotes","Συμβάσεις ασφαλισμένων εργαζόμενων με Δελτίο Παροχής Υπηρεσιών σε 1 ή 2 εργοδότες")</f>
        <v>Συμβάσεις ασφαλισμένων εργαζόμενων με Δελτίο Παροχής Υπηρεσιών σε 1 ή 2 εργοδότες</v>
      </c>
      <c r="E835" t="s">
        <v>44</v>
      </c>
    </row>
    <row r="836" spans="1:5" x14ac:dyDescent="0.25">
      <c r="A836">
        <v>15829</v>
      </c>
      <c r="B836" t="s">
        <v>8</v>
      </c>
      <c r="C836" t="s">
        <v>18</v>
      </c>
      <c r="D836" t="str">
        <f>HYPERLINK("Https://www.gov.gr/ipiresies/ergasia-kai-asphalise/eleutheroi-epaggelmaties/anaggelia-enarxes-askeses-drasteriotetas-energeiakou-elegkkte-gia-phusika-kai-nomika-prosopa","Aναγγελία έναρξης άσκησης δραστηριότητας Ενεργειακού Ελεγκτή για φυσικά και νομικά πρόσωπα")</f>
        <v>Aναγγελία έναρξης άσκησης δραστηριότητας Ενεργειακού Ελεγκτή για φυσικά και νομικά πρόσωπα</v>
      </c>
      <c r="E836" t="s">
        <v>17</v>
      </c>
    </row>
    <row r="837" spans="1:5" x14ac:dyDescent="0.25">
      <c r="A837">
        <v>15826</v>
      </c>
      <c r="B837" t="s">
        <v>8</v>
      </c>
      <c r="C837" t="s">
        <v>18</v>
      </c>
      <c r="D837" t="str">
        <f>HYPERLINK("Https://www.gov.gr/ipiresies/ergasia-kai-asphalise/eleutheroi-epaggelmaties/anaggelia-enarxes-askeses-drasteriotetas-energeiakou-epitheorete","Aναγγελία έναρξης άσκησης δραστηριότητας Ενεργειακού Επιθεωρητή")</f>
        <v>Aναγγελία έναρξης άσκησης δραστηριότητας Ενεργειακού Επιθεωρητή</v>
      </c>
      <c r="E837" t="s">
        <v>17</v>
      </c>
    </row>
    <row r="838" spans="1:5" x14ac:dyDescent="0.25">
      <c r="A838">
        <v>15362</v>
      </c>
      <c r="B838" t="s">
        <v>8</v>
      </c>
      <c r="C838" t="s">
        <v>18</v>
      </c>
      <c r="D838" t="str">
        <f>HYPERLINK("Https://www.gov.gr/ipiresies/ergasia-kai-asphalise/eleutheroi-epaggelmaties/adeia-askeses-epaggelmatos-kataskeuaston-episkeuaston-kleidarion","Άδεια άσκησης επαγγέλματος κατασκευαστών / επισκευαστών κλειδαριών")</f>
        <v>Άδεια άσκησης επαγγέλματος κατασκευαστών / επισκευαστών κλειδαριών</v>
      </c>
      <c r="E838" t="s">
        <v>29</v>
      </c>
    </row>
    <row r="839" spans="1:5" x14ac:dyDescent="0.25">
      <c r="A839">
        <v>15363</v>
      </c>
      <c r="B839" t="s">
        <v>8</v>
      </c>
      <c r="C839" t="s">
        <v>18</v>
      </c>
      <c r="D839" t="str">
        <f>HYPERLINK("Https://www.gov.gr/ipiresies/ergasia-kai-asphalise/eleutheroi-epaggelmaties/adeia-askeses-epaggelmatos-palaiopolon-enekhurodaneiston","Άδεια άσκησης επαγγέλματος παλαιοπωλών, ενεχυροδανειστών")</f>
        <v>Άδεια άσκησης επαγγέλματος παλαιοπωλών, ενεχυροδανειστών</v>
      </c>
      <c r="E839" t="s">
        <v>29</v>
      </c>
    </row>
    <row r="840" spans="1:5" x14ac:dyDescent="0.25">
      <c r="A840">
        <v>15377</v>
      </c>
      <c r="B840" t="s">
        <v>8</v>
      </c>
      <c r="C840" t="s">
        <v>18</v>
      </c>
      <c r="D840" t="str">
        <f>HYPERLINK("Https://www.gov.gr/ipiresies/ergasia-kai-asphalise/eleutheroi-epaggelmaties/adeia-ergasias-prosopikou-gia-idiotikes-uperesies-asphaleias","Άδεια εργασίας προσωπικού για ιδιωτικές υπηρεσίες ασφάλειας")</f>
        <v>Άδεια εργασίας προσωπικού για ιδιωτικές υπηρεσίες ασφάλειας</v>
      </c>
      <c r="E840" t="s">
        <v>29</v>
      </c>
    </row>
    <row r="841" spans="1:5" x14ac:dyDescent="0.25">
      <c r="A841">
        <v>16182</v>
      </c>
      <c r="B841" t="s">
        <v>8</v>
      </c>
      <c r="C841" t="s">
        <v>18</v>
      </c>
      <c r="D841" t="str">
        <f>HYPERLINK("Https://www.gov.gr/ipiresies/ergasia-kai-asphalise/eleutheroi-epaggelmaties/adeia-odikou-metaphorea-emporeumaton-kai-epibaton","Άδεια οδικού μεταφορέα εμπορευμάτων και επιβατών")</f>
        <v>Άδεια οδικού μεταφορέα εμπορευμάτων και επιβατών</v>
      </c>
      <c r="E841" t="s">
        <v>34</v>
      </c>
    </row>
    <row r="842" spans="1:5" x14ac:dyDescent="0.25">
      <c r="A842">
        <v>16120</v>
      </c>
      <c r="B842" t="s">
        <v>8</v>
      </c>
      <c r="C842" t="s">
        <v>18</v>
      </c>
      <c r="D842" t="str">
        <f>HYPERLINK("Https://www.gov.gr/ipiresies/ergasia-kai-asphalise/eleutheroi-epaggelmaties/allage-kategorias-adeias-epaggelmatia-laikon-agoron","Αλλαγή κατηγορίας άδειας επαγγελματία λαϊκών αγορών")</f>
        <v>Αλλαγή κατηγορίας άδειας επαγγελματία λαϊκών αγορών</v>
      </c>
      <c r="E842" t="s">
        <v>31</v>
      </c>
    </row>
    <row r="843" spans="1:5" x14ac:dyDescent="0.25">
      <c r="A843">
        <v>16121</v>
      </c>
      <c r="B843" t="s">
        <v>8</v>
      </c>
      <c r="C843" t="s">
        <v>18</v>
      </c>
      <c r="D843" t="str">
        <f>HYPERLINK("Https://www.gov.gr/ipiresies/ergasia-kai-asphalise/eleutheroi-epaggelmaties/allage-laikes-agoras","Αλλαγή λαϊκής αγοράς")</f>
        <v>Αλλαγή λαϊκής αγοράς</v>
      </c>
      <c r="E843" t="s">
        <v>31</v>
      </c>
    </row>
    <row r="844" spans="1:5" x14ac:dyDescent="0.25">
      <c r="A844">
        <v>16085</v>
      </c>
      <c r="B844" t="s">
        <v>8</v>
      </c>
      <c r="C844" t="s">
        <v>18</v>
      </c>
      <c r="D844" t="str">
        <f>HYPERLINK("Https://www.gov.gr/ipiresies/ergasia-kai-asphalise/eleutheroi-epaggelmaties/amoibaia-allage-theses-se-laike-agora","Αμοιβαία αλλαγή θέσης σε λαϊκή αγορά")</f>
        <v>Αμοιβαία αλλαγή θέσης σε λαϊκή αγορά</v>
      </c>
      <c r="E844" t="s">
        <v>31</v>
      </c>
    </row>
    <row r="845" spans="1:5" x14ac:dyDescent="0.25">
      <c r="A845">
        <v>16472</v>
      </c>
      <c r="B845" t="s">
        <v>8</v>
      </c>
      <c r="C845" t="s">
        <v>18</v>
      </c>
      <c r="D845" t="str">
        <f>HYPERLINK("Https://www.gov.gr/ipiresies/ergasia-kai-asphalise/eleutheroi-epaggelmaties/anaggelia-askeses-epaggelmatos-proponeton-apophoiton-panepistemiou-exoterikou","Αναγγελία άσκησης επαγγέλματος προπονητών απόφοιτων πανεπιστημίου εξωτερικού")</f>
        <v>Αναγγελία άσκησης επαγγέλματος προπονητών απόφοιτων πανεπιστημίου εξωτερικού</v>
      </c>
      <c r="E845" t="s">
        <v>47</v>
      </c>
    </row>
    <row r="846" spans="1:5" x14ac:dyDescent="0.25">
      <c r="A846">
        <v>16473</v>
      </c>
      <c r="B846" t="s">
        <v>8</v>
      </c>
      <c r="C846" t="s">
        <v>18</v>
      </c>
      <c r="D846" t="str">
        <f>HYPERLINK("Https://www.gov.gr/ipiresies/ergasia-kai-asphalise/eleutheroi-epaggelmaties/anaggelia-askeses-epaggelmatos-proponeton-apophoiton-sephaa-kai-skholon-proponeton-gga","Αναγγελία άσκησης επαγγέλματος προπονητών απόφοιτων ΣΕΦΑΑ και σχολών προπονητών ΓΓΑ")</f>
        <v>Αναγγελία άσκησης επαγγέλματος προπονητών απόφοιτων ΣΕΦΑΑ και σχολών προπονητών ΓΓΑ</v>
      </c>
      <c r="E846" t="s">
        <v>47</v>
      </c>
    </row>
    <row r="847" spans="1:5" x14ac:dyDescent="0.25">
      <c r="A847">
        <v>16474</v>
      </c>
      <c r="B847" t="s">
        <v>8</v>
      </c>
      <c r="C847" t="s">
        <v>18</v>
      </c>
      <c r="D847" t="str">
        <f>HYPERLINK("Https://www.gov.gr/ipiresies/ergasia-kai-asphalise/eleutheroi-epaggelmaties/anaggelia-askeses-epaggelmatos-proponeton-apophoiton-skholon-proponeton","Αναγγελία άσκησης επαγγέλματος προπονητών απόφοιτων σχολών προπονητών")</f>
        <v>Αναγγελία άσκησης επαγγέλματος προπονητών απόφοιτων σχολών προπονητών</v>
      </c>
      <c r="E847" t="s">
        <v>47</v>
      </c>
    </row>
    <row r="848" spans="1:5" x14ac:dyDescent="0.25">
      <c r="A848">
        <v>16137</v>
      </c>
      <c r="B848" t="s">
        <v>8</v>
      </c>
      <c r="C848" t="s">
        <v>18</v>
      </c>
      <c r="D848" t="str">
        <f>HYPERLINK("Https://www.gov.gr/ipiresies/ergasia-kai-asphalise/eleutheroi-epaggelmaties/anaggelia-enarxes-askeseos-epaggelmatos-radiotekhnite","Αναγγελία έναρξης ασκήσεως επαγγέλματος ραδιοτεχνίτη")</f>
        <v>Αναγγελία έναρξης ασκήσεως επαγγέλματος ραδιοτεχνίτη</v>
      </c>
      <c r="E848" t="s">
        <v>31</v>
      </c>
    </row>
    <row r="849" spans="1:5" x14ac:dyDescent="0.25">
      <c r="A849">
        <v>16135</v>
      </c>
      <c r="B849" t="s">
        <v>8</v>
      </c>
      <c r="C849" t="s">
        <v>18</v>
      </c>
      <c r="D849" t="str">
        <f>HYPERLINK("Https://www.gov.gr/ipiresies/ergasia-kai-asphalise/eleutheroi-epaggelmaties/anaggelia-enarxes-askeses-epaggelmatos-radioelektrologou-meta-apo-exetaseis","Αναγγελία έναρξης άσκησης επαγγέλματος ραδιοηλεκτρολόγου Α’ μετά από εξετάσεις")</f>
        <v>Αναγγελία έναρξης άσκησης επαγγέλματος ραδιοηλεκτρολόγου Α’ μετά από εξετάσεις</v>
      </c>
      <c r="E849" t="s">
        <v>31</v>
      </c>
    </row>
    <row r="850" spans="1:5" x14ac:dyDescent="0.25">
      <c r="A850">
        <v>16139</v>
      </c>
      <c r="B850" t="s">
        <v>8</v>
      </c>
      <c r="C850" t="s">
        <v>18</v>
      </c>
      <c r="D850" t="str">
        <f>HYPERLINK("Https://www.gov.gr/ipiresies/ergasia-kai-asphalise/eleutheroi-epaggelmaties/anaggelia-enarxes-askeses-epaggelmatos-radioelektrologou-khoris-exetaseis","Αναγγελία έναρξης άσκησης επαγγέλματος ραδιοηλεκτρολόγου Α’ χωρίς εξετάσεις")</f>
        <v>Αναγγελία έναρξης άσκησης επαγγέλματος ραδιοηλεκτρολόγου Α’ χωρίς εξετάσεις</v>
      </c>
      <c r="E850" t="s">
        <v>31</v>
      </c>
    </row>
    <row r="851" spans="1:5" x14ac:dyDescent="0.25">
      <c r="A851">
        <v>16136</v>
      </c>
      <c r="B851" t="s">
        <v>8</v>
      </c>
      <c r="C851" t="s">
        <v>18</v>
      </c>
      <c r="D851" t="str">
        <f>HYPERLINK("Https://www.gov.gr/ipiresies/ergasia-kai-asphalise/eleutheroi-epaggelmaties/anaggelia-enarxes-askeses-epaggelmatos-radioelektrologou-b-khoris-exetaseis","Αναγγελία έναρξης άσκησης επαγγέλματος ραδιοηλεκτρολόγου Β’ χωρίς εξετάσεις")</f>
        <v>Αναγγελία έναρξης άσκησης επαγγέλματος ραδιοηλεκτρολόγου Β’ χωρίς εξετάσεις</v>
      </c>
      <c r="E851" t="s">
        <v>31</v>
      </c>
    </row>
    <row r="852" spans="1:5" x14ac:dyDescent="0.25">
      <c r="A852">
        <v>16140</v>
      </c>
      <c r="B852" t="s">
        <v>8</v>
      </c>
      <c r="C852" t="s">
        <v>18</v>
      </c>
      <c r="D852" t="str">
        <f>HYPERLINK("Https://www.gov.gr/ipiresies/ergasia-kai-asphalise/eleutheroi-epaggelmaties/anaggelia-enarxes-askeses-epaggelmatos-radiotekhnite-me-exetaseis-adeia-boethou-radiotekhnite-khoris-exetaseis","Αναγγελία έναρξης άσκησης επαγγέλματος ραδιοτεχνίτη με εξετάσεις / άδεια βοηθού ραδιοτεχνίτη χωρίς εξετάσεις")</f>
        <v>Αναγγελία έναρξης άσκησης επαγγέλματος ραδιοτεχνίτη με εξετάσεις / άδεια βοηθού ραδιοτεχνίτη χωρίς εξετάσεις</v>
      </c>
      <c r="E852" t="s">
        <v>31</v>
      </c>
    </row>
    <row r="853" spans="1:5" x14ac:dyDescent="0.25">
      <c r="A853">
        <v>15991</v>
      </c>
      <c r="B853" t="s">
        <v>8</v>
      </c>
      <c r="C853" t="s">
        <v>18</v>
      </c>
      <c r="D853" t="str">
        <f>HYPERLINK("Https://www.gov.gr/ipiresies/ergasia-kai-asphalise/eleutheroi-epaggelmaties/anaggelia-enarxes-epaggelmatos-ekpaideute-upopsephion-odegon-me-adeia-apo-kratos-melos-tes-ee","Αναγγελία έναρξης επαγγέλματος εκπαιδευτή υποψήφιων οδηγών με άδεια από κράτος μέλος της ΕΕ")</f>
        <v>Αναγγελία έναρξης επαγγέλματος εκπαιδευτή υποψήφιων οδηγών με άδεια από κράτος μέλος της ΕΕ</v>
      </c>
      <c r="E853" t="s">
        <v>31</v>
      </c>
    </row>
    <row r="854" spans="1:5" x14ac:dyDescent="0.25">
      <c r="A854">
        <v>15972</v>
      </c>
      <c r="B854" t="s">
        <v>8</v>
      </c>
      <c r="C854" t="s">
        <v>18</v>
      </c>
      <c r="D854" t="str">
        <f>HYPERLINK("Https://www.gov.gr/ipiresies/ergasia-kai-asphalise/eleutheroi-epaggelmaties/anaggelia-enarxes-epaggelmatos-tekhnite-autokineton-motosikleton-motopodelaton-me-prouperesia-sten-ellada","Αναγγελία έναρξης επαγγέλματος τεχνίτη αυτοκινήτων / μοτοσικλετών / μοτοποδηλάτων με προϋπηρεσία στην Ελλάδα")</f>
        <v>Αναγγελία έναρξης επαγγέλματος τεχνίτη αυτοκινήτων / μοτοσικλετών / μοτοποδηλάτων με προϋπηρεσία στην Ελλάδα</v>
      </c>
      <c r="E854" t="s">
        <v>31</v>
      </c>
    </row>
    <row r="855" spans="1:5" x14ac:dyDescent="0.25">
      <c r="A855">
        <v>15975</v>
      </c>
      <c r="B855" t="s">
        <v>8</v>
      </c>
      <c r="C855" t="s">
        <v>18</v>
      </c>
      <c r="D855" t="str">
        <f>HYPERLINK("Https://www.gov.gr/ipiresies/ergasia-kai-asphalise/eleutheroi-epaggelmaties/anaggelia-enarxes-epaggelmatos-tekhnite-autokineton-motosikleton-motopodelaton-me-prouperesia-sto-exoteriko","Αναγγελία έναρξης επαγγέλματος τεχνίτη αυτοκινήτων / μοτοσικλετών / μοτοποδηλάτων με προϋπηρεσία στο εξωτερικό")</f>
        <v>Αναγγελία έναρξης επαγγέλματος τεχνίτη αυτοκινήτων / μοτοσικλετών / μοτοποδηλάτων με προϋπηρεσία στο εξωτερικό</v>
      </c>
      <c r="E855" t="s">
        <v>31</v>
      </c>
    </row>
    <row r="856" spans="1:5" x14ac:dyDescent="0.25">
      <c r="A856">
        <v>16141</v>
      </c>
      <c r="B856" t="s">
        <v>8</v>
      </c>
      <c r="C856" t="s">
        <v>18</v>
      </c>
      <c r="D856" t="str">
        <f>HYPERLINK("Https://www.gov.gr/ipiresies/ergasia-kai-asphalise/eleutheroi-epaggelmaties/anaggelia-enarxes-leitourgias-radioelektrikou-ergasteriou-b-g-kategorias","Αναγγελία έναρξης λειτουργίας ραδιοηλεκτρικού εργαστηρίου Α’ / Β’ / Γ’ κατηγορίας")</f>
        <v>Αναγγελία έναρξης λειτουργίας ραδιοηλεκτρικού εργαστηρίου Α’ / Β’ / Γ’ κατηγορίας</v>
      </c>
      <c r="E856" t="s">
        <v>31</v>
      </c>
    </row>
    <row r="857" spans="1:5" x14ac:dyDescent="0.25">
      <c r="A857">
        <v>16181</v>
      </c>
      <c r="B857" t="s">
        <v>8</v>
      </c>
      <c r="C857" t="s">
        <v>18</v>
      </c>
      <c r="D857" t="str">
        <f>HYPERLINK("Https://www.gov.gr/ipiresies/ergasia-kai-asphalise/eleutheroi-epaggelmaties/ananeose-adeias-odikou-metaphorea-emporeumaton-kai-epibaton","Ανανέωση άδειας οδικού μεταφορέα εμπορευμάτων και επιβατών")</f>
        <v>Ανανέωση άδειας οδικού μεταφορέα εμπορευμάτων και επιβατών</v>
      </c>
      <c r="E857" t="s">
        <v>34</v>
      </c>
    </row>
    <row r="858" spans="1:5" x14ac:dyDescent="0.25">
      <c r="A858">
        <v>15999</v>
      </c>
      <c r="B858" t="s">
        <v>8</v>
      </c>
      <c r="C858" t="s">
        <v>18</v>
      </c>
      <c r="D858" t="str">
        <f>HYPERLINK("Https://www.gov.gr/ipiresies/ergasia-kai-asphalise/eleutheroi-epaggelmaties/ananeose-eidikes-adeias-odegeses-epibategou-demosias-khreses-edkh-autokinetou","Ανανέωση ειδικής άδειας οδήγησης Επιβατηγού Δημόσιας Χρήσης (ΕΔΧ) αυτοκινήτου")</f>
        <v>Ανανέωση ειδικής άδειας οδήγησης Επιβατηγού Δημόσιας Χρήσης (ΕΔΧ) αυτοκινήτου</v>
      </c>
      <c r="E858" t="s">
        <v>31</v>
      </c>
    </row>
    <row r="859" spans="1:5" x14ac:dyDescent="0.25">
      <c r="A859">
        <v>15990</v>
      </c>
      <c r="B859" t="s">
        <v>8</v>
      </c>
      <c r="C859" t="s">
        <v>18</v>
      </c>
      <c r="D859" t="str">
        <f>HYPERLINK("Https://www.gov.gr/ipiresies/ergasia-kai-asphalise/eleutheroi-epaggelmaties/antigrapho-eidikes-adeias-odegeses-epibategou-demosias-khreses-edkh-autokinetou","Αντίγραφο ειδικής άδειας οδήγησης Επιβατηγού Δημόσιας Χρήσης (ΕΔΧ) αυτοκινήτου")</f>
        <v>Αντίγραφο ειδικής άδειας οδήγησης Επιβατηγού Δημόσιας Χρήσης (ΕΔΧ) αυτοκινήτου</v>
      </c>
      <c r="E859" t="s">
        <v>31</v>
      </c>
    </row>
    <row r="860" spans="1:5" x14ac:dyDescent="0.25">
      <c r="A860">
        <v>16336</v>
      </c>
      <c r="B860" t="s">
        <v>8</v>
      </c>
      <c r="C860" t="s">
        <v>18</v>
      </c>
      <c r="D860" t="str">
        <f>HYPERLINK("Https://www.gov.gr/ipiresies/ergasia-kai-asphalise/eleutheroi-epaggelmaties/apoktese-iatrikes-eidikotetas","Απόκτηση ιατρικής ειδικότητας")</f>
        <v>Απόκτηση ιατρικής ειδικότητας</v>
      </c>
      <c r="E860" t="s">
        <v>41</v>
      </c>
    </row>
    <row r="861" spans="1:5" x14ac:dyDescent="0.25">
      <c r="A861">
        <v>15988</v>
      </c>
      <c r="B861" t="s">
        <v>8</v>
      </c>
      <c r="C861" t="s">
        <v>18</v>
      </c>
      <c r="D861" t="str">
        <f>HYPERLINK("Https://www.gov.gr/ipiresies/ergasia-kai-asphalise/eleutheroi-epaggelmaties/askese-epaggelmatos-ekpaideute-odegon","Άσκηση επαγγέλματος εκπαιδευτή οδηγών")</f>
        <v>Άσκηση επαγγέλματος εκπαιδευτή οδηγών</v>
      </c>
      <c r="E861" t="s">
        <v>31</v>
      </c>
    </row>
    <row r="862" spans="1:5" x14ac:dyDescent="0.25">
      <c r="A862">
        <v>15959</v>
      </c>
      <c r="B862" t="s">
        <v>8</v>
      </c>
      <c r="C862" t="s">
        <v>18</v>
      </c>
      <c r="D862" t="str">
        <f>HYPERLINK("Https://www.gov.gr/ipiresies/ergasia-kai-asphalise/eleutheroi-epaggelmaties/bebaiose-sumbatotetas-ptukhiou-iatrikes-odontiatrikes-tes-europaikes-enoses","Βεβαίωση συμβατότητας πτυχίου ιατρικής / οδοντιατρικής της Ευρωπαϊκής Ένωσης")</f>
        <v>Βεβαίωση συμβατότητας πτυχίου ιατρικής / οδοντιατρικής της Ευρωπαϊκής Ένωσης</v>
      </c>
      <c r="E862" t="s">
        <v>31</v>
      </c>
    </row>
    <row r="863" spans="1:5" x14ac:dyDescent="0.25">
      <c r="A863">
        <v>16138</v>
      </c>
      <c r="B863" t="s">
        <v>8</v>
      </c>
      <c r="C863" t="s">
        <v>18</v>
      </c>
      <c r="D863" t="str">
        <f>HYPERLINK("Https://www.gov.gr/ipiresies/ergasia-kai-asphalise/eleutheroi-epaggelmaties/geniko-ptukhio-radiotelegraphete-radiotelephonete-meta-apo-exetaseis","Γενικό πτυχίο ραδιοτηλεγραφητή / ραδιοτηλεφωνητή μετά από εξετάσεις")</f>
        <v>Γενικό πτυχίο ραδιοτηλεγραφητή / ραδιοτηλεφωνητή μετά από εξετάσεις</v>
      </c>
      <c r="E863" t="s">
        <v>31</v>
      </c>
    </row>
    <row r="864" spans="1:5" x14ac:dyDescent="0.25">
      <c r="A864">
        <v>16083</v>
      </c>
      <c r="B864" t="s">
        <v>8</v>
      </c>
      <c r="C864" t="s">
        <v>18</v>
      </c>
      <c r="D864" t="str">
        <f>HYPERLINK("Https://www.gov.gr/ipiresies/ergasia-kai-asphalise/eleutheroi-epaggelmaties/egkrise-anaplerote-paragogou-polete-laikes-agoras","Έγκριση αναπληρωτή παραγωγού - πωλητή λαϊκής αγοράς")</f>
        <v>Έγκριση αναπληρωτή παραγωγού - πωλητή λαϊκής αγοράς</v>
      </c>
      <c r="E864" t="s">
        <v>31</v>
      </c>
    </row>
    <row r="865" spans="1:5" x14ac:dyDescent="0.25">
      <c r="A865">
        <v>16124</v>
      </c>
      <c r="B865" t="s">
        <v>8</v>
      </c>
      <c r="C865" t="s">
        <v>18</v>
      </c>
      <c r="D865" t="str">
        <f>HYPERLINK("Https://www.gov.gr/ipiresies/ergasia-kai-asphalise/eleutheroi-epaggelmaties/egkrise-proslepses-upallelou-se-laike-agora","Έγκριση πρόσληψης υπαλλήλου σε λαϊκή αγορά")</f>
        <v>Έγκριση πρόσληψης υπαλλήλου σε λαϊκή αγορά</v>
      </c>
      <c r="E865" t="s">
        <v>31</v>
      </c>
    </row>
    <row r="866" spans="1:5" x14ac:dyDescent="0.25">
      <c r="A866">
        <v>16153</v>
      </c>
      <c r="B866" t="s">
        <v>8</v>
      </c>
      <c r="C866" t="s">
        <v>18</v>
      </c>
      <c r="D866" t="str">
        <f>HYPERLINK("Https://www.gov.gr/ipiresies/ergasia-kai-asphalise/eleutheroi-epaggelmaties/exairese-epaggelmatia-odegou-apo-ten-apoktese-pistopoietikou-epaggelmatikes-ikanotetas-pei","Εξαίρεση επαγγελματία οδηγού από την απόκτηση Πιστοποιητικού Επαγγελματικής Ικανότητας (ΠΕΙ)")</f>
        <v>Εξαίρεση επαγγελματία οδηγού από την απόκτηση Πιστοποιητικού Επαγγελματικής Ικανότητας (ΠΕΙ)</v>
      </c>
      <c r="E866" t="s">
        <v>31</v>
      </c>
    </row>
    <row r="867" spans="1:5" x14ac:dyDescent="0.25">
      <c r="A867">
        <v>16727</v>
      </c>
      <c r="B867" t="s">
        <v>8</v>
      </c>
      <c r="C867" t="s">
        <v>18</v>
      </c>
      <c r="D867" t="str">
        <f>HYPERLINK("Https://www.gov.gr/ipiresies/ergasia-kai-asphalise/eleutheroi-epaggelmaties/metroo-epimeleton-tes-drases-ntantades-tes-geitonias","Μητρώο επιμελητών της δράσης «Νταντάδες της γειτονιάς»")</f>
        <v>Μητρώο επιμελητών της δράσης «Νταντάδες της γειτονιάς»</v>
      </c>
      <c r="E867" t="s">
        <v>20</v>
      </c>
    </row>
    <row r="868" spans="1:5" x14ac:dyDescent="0.25">
      <c r="A868">
        <v>16084</v>
      </c>
      <c r="B868" t="s">
        <v>8</v>
      </c>
      <c r="C868" t="s">
        <v>18</v>
      </c>
      <c r="D868" t="str">
        <f>HYPERLINK("Https://www.gov.gr/ipiresies/ergasia-kai-asphalise/eleutheroi-epaggelmaties/oristike-diagraphe-boethou-paragogou-polete-apo-laikes-agores","Οριστική διαγραφή βοηθού παραγωγού - πωλητή από λαϊκές αγορές")</f>
        <v>Οριστική διαγραφή βοηθού παραγωγού - πωλητή από λαϊκές αγορές</v>
      </c>
      <c r="E868" t="s">
        <v>31</v>
      </c>
    </row>
    <row r="869" spans="1:5" x14ac:dyDescent="0.25">
      <c r="A869">
        <v>16082</v>
      </c>
      <c r="B869" t="s">
        <v>8</v>
      </c>
      <c r="C869" t="s">
        <v>18</v>
      </c>
      <c r="D869" t="str">
        <f>HYPERLINK("Https://www.gov.gr/ipiresies/ergasia-kai-asphalise/eleutheroi-epaggelmaties/oristike-diagraphe-paragogou-polete-apo-laikes-agores","Οριστική διαγραφή παραγωγού - πωλητή από λαϊκές αγορές")</f>
        <v>Οριστική διαγραφή παραγωγού - πωλητή από λαϊκές αγορές</v>
      </c>
      <c r="E869" t="s">
        <v>31</v>
      </c>
    </row>
    <row r="870" spans="1:5" x14ac:dyDescent="0.25">
      <c r="A870">
        <v>15830</v>
      </c>
      <c r="B870" t="s">
        <v>8</v>
      </c>
      <c r="C870" t="s">
        <v>18</v>
      </c>
      <c r="D870" t="str">
        <f>HYPERLINK("Https://www.gov.gr/ipiresies/ergasia-kai-asphalise/eleutheroi-epaggelmaties/upobole-ektheseon-energeiakon-elegkhon","Υποβολή εκθέσεων ενεργειακών ελέγχων")</f>
        <v>Υποβολή εκθέσεων ενεργειακών ελέγχων</v>
      </c>
      <c r="E870" t="s">
        <v>17</v>
      </c>
    </row>
    <row r="871" spans="1:5" x14ac:dyDescent="0.25">
      <c r="A871">
        <v>15827</v>
      </c>
      <c r="B871" t="s">
        <v>8</v>
      </c>
      <c r="C871" t="s">
        <v>18</v>
      </c>
      <c r="D871" t="str">
        <f>HYPERLINK("Https://www.gov.gr/ipiresies/ergasia-kai-asphalise/eleutheroi-epaggelmaties/upobole-ektheseon-energeiakon-epitheoreseon","Υποβολή εκθέσεων ενεργειακών επιθεωρήσεων")</f>
        <v>Υποβολή εκθέσεων ενεργειακών επιθεωρήσεων</v>
      </c>
      <c r="E871" t="s">
        <v>17</v>
      </c>
    </row>
    <row r="872" spans="1:5" x14ac:dyDescent="0.25">
      <c r="A872">
        <v>16693</v>
      </c>
      <c r="B872" t="s">
        <v>8</v>
      </c>
      <c r="C872" t="s">
        <v>89</v>
      </c>
      <c r="D872" t="str">
        <f>HYPERLINK("Https://www.gov.gr/ipiresies/ergasia-kai-asphalise/epitheorese-ergasias/anaggelia-ergatikou-atukhematos","Αναγγελία Εργατικού Ατυχήματος")</f>
        <v>Αναγγελία Εργατικού Ατυχήματος</v>
      </c>
      <c r="E872" t="s">
        <v>51</v>
      </c>
    </row>
    <row r="873" spans="1:5" x14ac:dyDescent="0.25">
      <c r="A873">
        <v>16704</v>
      </c>
      <c r="B873" t="s">
        <v>8</v>
      </c>
      <c r="C873" t="s">
        <v>89</v>
      </c>
      <c r="D873" t="str">
        <f>HYPERLINK("Https://www.gov.gr/ipiresies/ergasia-kai-asphalise/epitheorese-ergasias/anonume-kataggelia","Ανώνυμη καταγγελία στην Επιθεώρηση Εργασίας")</f>
        <v>Ανώνυμη καταγγελία στην Επιθεώρηση Εργασίας</v>
      </c>
      <c r="E873" t="s">
        <v>51</v>
      </c>
    </row>
    <row r="874" spans="1:5" x14ac:dyDescent="0.25">
      <c r="A874">
        <v>16706</v>
      </c>
      <c r="B874" t="s">
        <v>8</v>
      </c>
      <c r="C874" t="s">
        <v>89</v>
      </c>
      <c r="D874" t="str">
        <f>HYPERLINK("Https://www.gov.gr/ipiresies/ergasia-kai-asphalise/epitheorese-ergasias/gnostopoiese-spoudaiou-logou-se-periptose-apoluses-egkuou","Γνωστοποίηση σπουδαίου λόγου σε περίπτωση απόλυσης εγκύου")</f>
        <v>Γνωστοποίηση σπουδαίου λόγου σε περίπτωση απόλυσης εγκύου</v>
      </c>
      <c r="E874" t="s">
        <v>51</v>
      </c>
    </row>
    <row r="875" spans="1:5" x14ac:dyDescent="0.25">
      <c r="A875">
        <v>16687</v>
      </c>
      <c r="B875" t="s">
        <v>8</v>
      </c>
      <c r="C875" t="s">
        <v>89</v>
      </c>
      <c r="D875" t="str">
        <f>HYPERLINK("Https://www.gov.gr/ipiresies/ergasia-kai-asphalise/epitheorese-ergasias/eggraphe-stis-elektronikes-uperesies-tou-sepe","Εγγραφή στις ηλεκτρονικές υπηρεσίες της Επιθεώρησης Εργασίας")</f>
        <v>Εγγραφή στις ηλεκτρονικές υπηρεσίες της Επιθεώρησης Εργασίας</v>
      </c>
      <c r="E875" t="s">
        <v>51</v>
      </c>
    </row>
    <row r="876" spans="1:5" x14ac:dyDescent="0.25">
      <c r="A876">
        <v>16690</v>
      </c>
      <c r="B876" t="s">
        <v>8</v>
      </c>
      <c r="C876" t="s">
        <v>89</v>
      </c>
      <c r="D876" t="str">
        <f>HYPERLINK("Https://www.gov.gr/ipiresies/ergasia-kai-asphalise/epitheorese-ergasias/eggraphe-sto-metroo-iatron-ergasias","Εγγραφή στο Μητρώο Ιατρών Εργασίας")</f>
        <v>Εγγραφή στο Μητρώο Ιατρών Εργασίας</v>
      </c>
      <c r="E876" t="s">
        <v>51</v>
      </c>
    </row>
    <row r="877" spans="1:5" x14ac:dyDescent="0.25">
      <c r="A877">
        <v>16691</v>
      </c>
      <c r="B877" t="s">
        <v>8</v>
      </c>
      <c r="C877" t="s">
        <v>89</v>
      </c>
      <c r="D877" t="str">
        <f>HYPERLINK("Https://www.gov.gr/ipiresies/ergasia-kai-asphalise/epitheorese-ergasias/eggraphe-sto-metroo-tekhnikon-asphaleias","Εγγραφή στο Μητρώο Τεχνικών Ασφαλείας")</f>
        <v>Εγγραφή στο Μητρώο Τεχνικών Ασφαλείας</v>
      </c>
      <c r="E877" t="s">
        <v>51</v>
      </c>
    </row>
    <row r="878" spans="1:5" x14ac:dyDescent="0.25">
      <c r="A878">
        <v>16712</v>
      </c>
      <c r="B878" t="s">
        <v>8</v>
      </c>
      <c r="C878" t="s">
        <v>89</v>
      </c>
      <c r="D878" t="str">
        <f>HYPERLINK("Https://www.gov.gr/ipiresies/ergasia-kai-asphalise/epitheorese-ergasias/exegeseis-meta-apo-elegkho-tes-epitheoreses-ergasias","Εξηγήσεις μετά από έλεγχο της Επιθεώρησης Εργασίας")</f>
        <v>Εξηγήσεις μετά από έλεγχο της Επιθεώρησης Εργασίας</v>
      </c>
      <c r="E878" t="s">
        <v>51</v>
      </c>
    </row>
    <row r="879" spans="1:5" x14ac:dyDescent="0.25">
      <c r="A879">
        <v>16709</v>
      </c>
      <c r="B879" t="s">
        <v>8</v>
      </c>
      <c r="C879" t="s">
        <v>89</v>
      </c>
      <c r="D879" t="str">
        <f>HYPERLINK("Https://www.gov.gr/ipiresies/ergasia-kai-asphalise/epitheorese-ergasias/eponume-kataggelia","Επώνυμη καταγγελία στην Επιθεώρηση Εργασίας")</f>
        <v>Επώνυμη καταγγελία στην Επιθεώρηση Εργασίας</v>
      </c>
      <c r="E879" t="s">
        <v>51</v>
      </c>
    </row>
    <row r="880" spans="1:5" x14ac:dyDescent="0.25">
      <c r="A880">
        <v>16713</v>
      </c>
      <c r="B880" t="s">
        <v>8</v>
      </c>
      <c r="C880" t="s">
        <v>89</v>
      </c>
      <c r="D880" t="str">
        <f>HYPERLINK("Https://www.gov.gr/ipiresies/ergasia-kai-asphalise/epitheorese-ergasias/erotema-sten-epitheorese-ergasias","Ερώτημα στην Επιθεώρηση Εργασίας")</f>
        <v>Ερώτημα στην Επιθεώρηση Εργασίας</v>
      </c>
      <c r="E880" t="s">
        <v>51</v>
      </c>
    </row>
    <row r="881" spans="1:5" x14ac:dyDescent="0.25">
      <c r="A881">
        <v>16714</v>
      </c>
      <c r="B881" t="s">
        <v>8</v>
      </c>
      <c r="C881" t="s">
        <v>89</v>
      </c>
      <c r="D881" t="str">
        <f>HYPERLINK("Https://www.gov.gr/ipiresies/ergasia-kai-asphalise/epitheorese-ergasias/ierarkhike-prosphuge-epitheorese-ergasias","Ιεραρχική προσφυγή (Επιθεώρηση Εργασίας)")</f>
        <v>Ιεραρχική προσφυγή (Επιθεώρηση Εργασίας)</v>
      </c>
      <c r="E881" t="s">
        <v>51</v>
      </c>
    </row>
    <row r="882" spans="1:5" x14ac:dyDescent="0.25">
      <c r="A882">
        <v>16785</v>
      </c>
      <c r="B882" t="s">
        <v>8</v>
      </c>
      <c r="C882" t="s">
        <v>89</v>
      </c>
      <c r="D882" t="str">
        <f>HYPERLINK("Https://www.gov.gr/ipiresies/ergasia-kai-asphalise/epitheorese-ergasias/paraitese-tekhnikou-asphaleias","Παραίτηση Τεχνικού Ασφαλείας")</f>
        <v>Παραίτηση Τεχνικού Ασφαλείας</v>
      </c>
      <c r="E882" t="s">
        <v>51</v>
      </c>
    </row>
    <row r="883" spans="1:5" x14ac:dyDescent="0.25">
      <c r="A883">
        <v>16715</v>
      </c>
      <c r="B883" t="s">
        <v>8</v>
      </c>
      <c r="C883" t="s">
        <v>89</v>
      </c>
      <c r="D883" t="str">
        <f>HYPERLINK("Https://www.gov.gr/ipiresies/ergasia-kai-asphalise/epitheorese-ergasias/prostheta-stoikheia-meta-apo-elegkho-tes-epitheoreses-ergasias","Πρόσθετα στοιχεία μετά από έλεγχο της Επιθεώρησης Εργασίας")</f>
        <v>Πρόσθετα στοιχεία μετά από έλεγχο της Επιθεώρησης Εργασίας</v>
      </c>
      <c r="E883" t="s">
        <v>51</v>
      </c>
    </row>
    <row r="884" spans="1:5" x14ac:dyDescent="0.25">
      <c r="A884">
        <v>16711</v>
      </c>
      <c r="B884" t="s">
        <v>8</v>
      </c>
      <c r="C884" t="s">
        <v>89</v>
      </c>
      <c r="D884" t="str">
        <f>HYPERLINK("Https://www.gov.gr/ipiresies/ergasia-kai-asphalise/epitheorese-ergasias/upobole-diplotupou-eispraxes-prostimou-apo-ten-armodia-d-o-u","Υποβολή διπλότυπου είσπραξης προστίμου από την αρμόδια Δ.Ο.Υ.")</f>
        <v>Υποβολή διπλότυπου είσπραξης προστίμου από την αρμόδια Δ.Ο.Υ.</v>
      </c>
      <c r="E884" t="s">
        <v>51</v>
      </c>
    </row>
    <row r="885" spans="1:5" x14ac:dyDescent="0.25">
      <c r="A885">
        <v>16692</v>
      </c>
      <c r="B885" t="s">
        <v>8</v>
      </c>
      <c r="C885" t="s">
        <v>89</v>
      </c>
      <c r="D885" t="str">
        <f>HYPERLINK("Https://www.gov.gr/ipiresies/ergasia-kai-asphalise/epitheorese-ergasias/khoregese-antigraphon-stoikheion-apo-ten-epitheorese-ergasias","Χορήγηση αντιγράφων - στοιχείων από την Επιθεώρηση Εργασίας")</f>
        <v>Χορήγηση αντιγράφων - στοιχείων από την Επιθεώρηση Εργασίας</v>
      </c>
      <c r="E885" t="s">
        <v>51</v>
      </c>
    </row>
    <row r="886" spans="1:5" x14ac:dyDescent="0.25">
      <c r="A886">
        <v>15710</v>
      </c>
      <c r="B886" t="s">
        <v>8</v>
      </c>
      <c r="C886" t="s">
        <v>185</v>
      </c>
      <c r="D886" t="str">
        <f>HYPERLINK("Https://www.gov.gr/ipiresies/ergasia-kai-asphalise/kataskenoseis/programmata-kataskenoseon-eephka","Προγράμματα κατασκηνώσεων (eΕΦΚΑ)")</f>
        <v>Προγράμματα κατασκηνώσεων (eΕΦΚΑ)</v>
      </c>
      <c r="E886" t="s">
        <v>44</v>
      </c>
    </row>
    <row r="887" spans="1:5" x14ac:dyDescent="0.25">
      <c r="A887">
        <v>15516</v>
      </c>
      <c r="B887" t="s">
        <v>8</v>
      </c>
      <c r="C887" t="s">
        <v>9</v>
      </c>
      <c r="D887" t="str">
        <f>HYPERLINK("Https://www.gov.gr/ipiresies/ergasia-kai-asphalise/suntaxiodotese/120-doseis-me-misthoton-kai-suntaxioukhon","120 δόσεις μη μισθωτών και συνταξιούχων")</f>
        <v>120 δόσεις μη μισθωτών και συνταξιούχων</v>
      </c>
      <c r="E887" t="s">
        <v>7</v>
      </c>
    </row>
    <row r="888" spans="1:5" x14ac:dyDescent="0.25">
      <c r="A888">
        <v>15380</v>
      </c>
      <c r="B888" t="s">
        <v>8</v>
      </c>
      <c r="C888" t="s">
        <v>9</v>
      </c>
      <c r="D888" t="str">
        <f>HYPERLINK("Https://www.gov.gr/ipiresies/ergasia-kai-asphalise/suntaxiodotese/aitese-suntaxiodoteses","Αίτηση συνταξιοδότησης")</f>
        <v>Αίτηση συνταξιοδότησης</v>
      </c>
      <c r="E888" t="s">
        <v>44</v>
      </c>
    </row>
    <row r="889" spans="1:5" x14ac:dyDescent="0.25">
      <c r="A889">
        <v>15839</v>
      </c>
      <c r="B889" t="s">
        <v>8</v>
      </c>
      <c r="C889" t="s">
        <v>9</v>
      </c>
      <c r="D889" t="str">
        <f>HYPERLINK("Https://www.gov.gr/ipiresies/ergasia-kai-asphalise/suntaxiodotese/allage-dieuthunses-suntaxioukhou-demosiou","Αλλαγή διεύθυνσης συνταξιούχου δημοσίου")</f>
        <v>Αλλαγή διεύθυνσης συνταξιούχου δημοσίου</v>
      </c>
      <c r="E889" t="s">
        <v>44</v>
      </c>
    </row>
    <row r="890" spans="1:5" x14ac:dyDescent="0.25">
      <c r="A890">
        <v>16014</v>
      </c>
      <c r="B890" t="s">
        <v>8</v>
      </c>
      <c r="C890" t="s">
        <v>9</v>
      </c>
      <c r="D890" t="str">
        <f>HYPERLINK("Https://www.gov.gr/ipiresies/ergasia-kai-asphalise/suntaxiodotese/anaklese-aiteses-pauses-epaggelmatos-mekhanikou","Ανάκληση αίτησης παύσης επαγγέλματος μηχανικού")</f>
        <v>Ανάκληση αίτησης παύσης επαγγέλματος μηχανικού</v>
      </c>
      <c r="E890" t="s">
        <v>31</v>
      </c>
    </row>
    <row r="891" spans="1:5" x14ac:dyDescent="0.25">
      <c r="A891">
        <v>15763</v>
      </c>
      <c r="B891" t="s">
        <v>8</v>
      </c>
      <c r="C891" t="s">
        <v>9</v>
      </c>
      <c r="D891" t="str">
        <f>HYPERLINK("Https://www.gov.gr/ipiresies/ergasia-kai-asphalise/suntaxiodotese/aponome-kurias-suntaxes-anaperias","Απονομή κύριας σύνταξης αναπηρίας")</f>
        <v>Απονομή κύριας σύνταξης αναπηρίας</v>
      </c>
      <c r="E891" t="s">
        <v>44</v>
      </c>
    </row>
    <row r="892" spans="1:5" x14ac:dyDescent="0.25">
      <c r="A892">
        <v>15257</v>
      </c>
      <c r="B892" t="s">
        <v>8</v>
      </c>
      <c r="C892" t="s">
        <v>9</v>
      </c>
      <c r="D892" t="str">
        <f>HYPERLINK("Https://www.gov.gr/ipiresies/ergasia-kai-asphalise/suntaxiodotese/bebaioseis-exagoras-prouperesias","Βεβαιώσεις εξαγοράς προϋπηρεσίας")</f>
        <v>Βεβαιώσεις εξαγοράς προϋπηρεσίας</v>
      </c>
      <c r="E892" t="s">
        <v>7</v>
      </c>
    </row>
    <row r="893" spans="1:5" x14ac:dyDescent="0.25">
      <c r="A893">
        <v>16020</v>
      </c>
      <c r="B893" t="s">
        <v>8</v>
      </c>
      <c r="C893" t="s">
        <v>9</v>
      </c>
      <c r="D893" t="str">
        <f>HYPERLINK("Https://www.gov.gr/ipiresies/ergasia-kai-asphalise/suntaxiodotese/delose-katoikou-exoterikou-os-dikaioukhou-suntaxes","Δήλωση κατοίκου εξωτερικού ως δικαιούχου σύνταξης")</f>
        <v>Δήλωση κατοίκου εξωτερικού ως δικαιούχου σύνταξης</v>
      </c>
      <c r="E893" t="s">
        <v>99</v>
      </c>
    </row>
    <row r="894" spans="1:5" x14ac:dyDescent="0.25">
      <c r="A894">
        <v>15336</v>
      </c>
      <c r="B894" t="s">
        <v>8</v>
      </c>
      <c r="C894" t="s">
        <v>9</v>
      </c>
      <c r="D894" t="str">
        <f>HYPERLINK("Https://www.gov.gr/ipiresies/ergasia-kai-asphalise/suntaxiodotese/enemerose-poreias-aponomon-epikourikes-suntaxes","Ενημέρωση πορείας απονομών επικουρικής σύνταξης")</f>
        <v>Ενημέρωση πορείας απονομών επικουρικής σύνταξης</v>
      </c>
      <c r="E894" t="s">
        <v>44</v>
      </c>
    </row>
    <row r="895" spans="1:5" x14ac:dyDescent="0.25">
      <c r="A895">
        <v>15337</v>
      </c>
      <c r="B895" t="s">
        <v>8</v>
      </c>
      <c r="C895" t="s">
        <v>9</v>
      </c>
      <c r="D895" t="str">
        <f>HYPERLINK("Https://www.gov.gr/ipiresies/ergasia-kai-asphalise/suntaxiodotese/enemerose-poreias-aponomon-ephapax","Ενημέρωση πορείας απονομών εφάπαξ")</f>
        <v>Ενημέρωση πορείας απονομών εφάπαξ</v>
      </c>
      <c r="E895" t="s">
        <v>44</v>
      </c>
    </row>
    <row r="896" spans="1:5" x14ac:dyDescent="0.25">
      <c r="A896">
        <v>15821</v>
      </c>
      <c r="B896" t="s">
        <v>8</v>
      </c>
      <c r="C896" t="s">
        <v>9</v>
      </c>
      <c r="D896" t="str">
        <f>HYPERLINK("Https://www.gov.gr/ipiresies/ergasia-kai-asphalise/suntaxiodotese/enemerotiko-semeioma-epistrophes-meioseon-suntaxeon-eephka","Ενημερωτικό σημείωμα επιστροφής μειώσεων συντάξεων (eΕΦΚΑ)")</f>
        <v>Ενημερωτικό σημείωμα επιστροφής μειώσεων συντάξεων (eΕΦΚΑ)</v>
      </c>
      <c r="E896" t="s">
        <v>44</v>
      </c>
    </row>
    <row r="897" spans="1:5" x14ac:dyDescent="0.25">
      <c r="A897">
        <v>15340</v>
      </c>
      <c r="B897" t="s">
        <v>8</v>
      </c>
      <c r="C897" t="s">
        <v>9</v>
      </c>
      <c r="D897" t="str">
        <f>HYPERLINK("Https://www.gov.gr/ipiresies/ergasia-kai-asphalise/suntaxiodotese/enstase-kata-meniaiou-enemerotikou-semeiomatos-pleromes-suntaxes","Ένσταση κατά μηνιαίου ενημερωτικού σημειώματος πληρωμής σύνταξης")</f>
        <v>Ένσταση κατά μηνιαίου ενημερωτικού σημειώματος πληρωμής σύνταξης</v>
      </c>
      <c r="E897" t="s">
        <v>44</v>
      </c>
    </row>
    <row r="898" spans="1:5" x14ac:dyDescent="0.25">
      <c r="A898">
        <v>15251</v>
      </c>
      <c r="B898" t="s">
        <v>8</v>
      </c>
      <c r="C898" t="s">
        <v>9</v>
      </c>
      <c r="D898" t="str">
        <f>HYPERLINK("Https://www.gov.gr/ipiresies/ergasia-kai-asphalise/suntaxiodotese/etesio-enemerotiko-semeioma-suntaxeon-eephka","Ετήσιο ενημερωτικό σημείωμα συντάξεων (eΕΦΚΑ)")</f>
        <v>Ετήσιο ενημερωτικό σημείωμα συντάξεων (eΕΦΚΑ)</v>
      </c>
      <c r="E898" t="s">
        <v>44</v>
      </c>
    </row>
    <row r="899" spans="1:5" x14ac:dyDescent="0.25">
      <c r="A899">
        <v>15254</v>
      </c>
      <c r="B899" t="s">
        <v>8</v>
      </c>
      <c r="C899" t="s">
        <v>9</v>
      </c>
      <c r="D899" t="str">
        <f>HYPERLINK("Https://www.gov.gr/ipiresies/ergasia-kai-asphalise/suntaxiodotese/etesio-enemerotiko-semeioma-suntaxeon-p-nat","Ετήσιο ενημερωτικό σημείωμα συντάξεων π. NAT")</f>
        <v>Ετήσιο ενημερωτικό σημείωμα συντάξεων π. NAT</v>
      </c>
      <c r="E899" t="s">
        <v>44</v>
      </c>
    </row>
    <row r="900" spans="1:5" x14ac:dyDescent="0.25">
      <c r="A900">
        <v>15253</v>
      </c>
      <c r="B900" t="s">
        <v>8</v>
      </c>
      <c r="C900" t="s">
        <v>9</v>
      </c>
      <c r="D900" t="str">
        <f>HYPERLINK("Https://www.gov.gr/ipiresies/ergasia-kai-asphalise/suntaxiodotese/etesio-enemerotiko-semeioma-suntaxeon-p-etap-mme","Ετήσιο ενημερωτικό σημείωμα συντάξεων π. ΕΤΑΠ - ΜΜΕ")</f>
        <v>Ετήσιο ενημερωτικό σημείωμα συντάξεων π. ΕΤΑΠ - ΜΜΕ</v>
      </c>
      <c r="E900" t="s">
        <v>44</v>
      </c>
    </row>
    <row r="901" spans="1:5" x14ac:dyDescent="0.25">
      <c r="A901">
        <v>15252</v>
      </c>
      <c r="B901" t="s">
        <v>8</v>
      </c>
      <c r="C901" t="s">
        <v>9</v>
      </c>
      <c r="D901" t="str">
        <f>HYPERLINK("Https://www.gov.gr/ipiresies/ergasia-kai-asphalise/suntaxiodotese/etesio-enemerotiko-semeioma-suntaxeon-p-oga","Ετήσιο ενημερωτικό σημείωμα συντάξεων π. ΟΓΑ")</f>
        <v>Ετήσιο ενημερωτικό σημείωμα συντάξεων π. ΟΓΑ</v>
      </c>
      <c r="E901" t="s">
        <v>44</v>
      </c>
    </row>
    <row r="902" spans="1:5" x14ac:dyDescent="0.25">
      <c r="A902">
        <v>15256</v>
      </c>
      <c r="B902" t="s">
        <v>8</v>
      </c>
      <c r="C902" t="s">
        <v>9</v>
      </c>
      <c r="D902" t="str">
        <f>HYPERLINK("Https://www.gov.gr/ipiresies/ergasia-kai-asphalise/suntaxiodotese/etesio-enemerotiko-semeioma-suntaxeon-p-tsmede","Ετήσιο ενημερωτικό σημείωμα συντάξεων π.ΤΣΜΕΔΕ")</f>
        <v>Ετήσιο ενημερωτικό σημείωμα συντάξεων π.ΤΣΜΕΔΕ</v>
      </c>
      <c r="E902" t="s">
        <v>44</v>
      </c>
    </row>
    <row r="903" spans="1:5" x14ac:dyDescent="0.25">
      <c r="A903">
        <v>16615</v>
      </c>
      <c r="B903" t="s">
        <v>8</v>
      </c>
      <c r="C903" t="s">
        <v>9</v>
      </c>
      <c r="D903" t="str">
        <f>HYPERLINK("Https://www.gov.gr/ipiresies/ergasia-kai-asphalise/suntaxiodotese/metabibase-epikourikes-suntaxes-logo-thanatou-suntaxioukhou","Μεταβίβαση επικουρικής σύνταξης λόγω θανάτου συνταξιούχου")</f>
        <v>Μεταβίβαση επικουρικής σύνταξης λόγω θανάτου συνταξιούχου</v>
      </c>
      <c r="E903" t="s">
        <v>44</v>
      </c>
    </row>
    <row r="904" spans="1:5" x14ac:dyDescent="0.25">
      <c r="A904">
        <v>15640</v>
      </c>
      <c r="B904" t="s">
        <v>8</v>
      </c>
      <c r="C904" t="s">
        <v>9</v>
      </c>
      <c r="D904" t="str">
        <f>HYPERLINK("Https://www.gov.gr/ipiresies/ergasia-kai-asphalise/suntaxiodotese/meniaia-kai-etesia-enemerotika-semeiomata-suntaxeon-demosiou-eidikes-suntaxeis","Μηνιαία και ετήσια ενημερωτικά σημειώματα Συντάξεων Δημοσίου (Ειδικές Συντάξεις)")</f>
        <v>Μηνιαία και ετήσια ενημερωτικά σημειώματα Συντάξεων Δημοσίου (Ειδικές Συντάξεις)</v>
      </c>
      <c r="E904" t="s">
        <v>15</v>
      </c>
    </row>
    <row r="905" spans="1:5" x14ac:dyDescent="0.25">
      <c r="A905">
        <v>15547</v>
      </c>
      <c r="B905" t="s">
        <v>8</v>
      </c>
      <c r="C905" t="s">
        <v>9</v>
      </c>
      <c r="D905" t="str">
        <f>HYPERLINK("Https://www.gov.gr/ipiresies/ergasia-kai-asphalise/suntaxiodotese/meniaio-enemerotiko-semeioma-epikourikon-suntaxeon-t-eteam","Μηνιαίο ενημερωτικό σημείωμα επικουρικών συντάξεων τ. ΕΤEAM")</f>
        <v>Μηνιαίο ενημερωτικό σημείωμα επικουρικών συντάξεων τ. ΕΤEAM</v>
      </c>
      <c r="E905" t="s">
        <v>7</v>
      </c>
    </row>
    <row r="906" spans="1:5" x14ac:dyDescent="0.25">
      <c r="A906">
        <v>15546</v>
      </c>
      <c r="B906" t="s">
        <v>8</v>
      </c>
      <c r="C906" t="s">
        <v>9</v>
      </c>
      <c r="D906" t="str">
        <f>HYPERLINK("Https://www.gov.gr/ipiresies/ergasia-kai-asphalise/suntaxiodotese/meniaio-enemerotiko-semeioma-epikourikon-suntaxeon-t-eteaep","Μηνιαίο ενημερωτικό σημείωμα επικουρικών συντάξεων τ. ΕΤΕΑΕΠ")</f>
        <v>Μηνιαίο ενημερωτικό σημείωμα επικουρικών συντάξεων τ. ΕΤΕΑΕΠ</v>
      </c>
      <c r="E906" t="s">
        <v>44</v>
      </c>
    </row>
    <row r="907" spans="1:5" x14ac:dyDescent="0.25">
      <c r="A907">
        <v>15327</v>
      </c>
      <c r="B907" t="s">
        <v>8</v>
      </c>
      <c r="C907" t="s">
        <v>9</v>
      </c>
      <c r="D907" t="str">
        <f>HYPERLINK("Https://www.gov.gr/ipiresies/ergasia-kai-asphalise/suntaxiodotese/meniaio-enemerotiko-semeioma-suntaxes-eephka","Μηνιαίο ενημερωτικό σημείωμα σύνταξης (eΕΦΚΑ)")</f>
        <v>Μηνιαίο ενημερωτικό σημείωμα σύνταξης (eΕΦΚΑ)</v>
      </c>
      <c r="E907" t="s">
        <v>44</v>
      </c>
    </row>
    <row r="908" spans="1:5" x14ac:dyDescent="0.25">
      <c r="A908">
        <v>15468</v>
      </c>
      <c r="B908" t="s">
        <v>8</v>
      </c>
      <c r="C908" t="s">
        <v>9</v>
      </c>
      <c r="D908" t="str">
        <f>HYPERLINK("Https://www.gov.gr/ipiresies/ergasia-kai-asphalise/suntaxiodotese/parakolouthese-poreias-aiteses-suntaxiodoteses","Παρακολούθηση πορείας αίτησης συνταξιοδότησης")</f>
        <v>Παρακολούθηση πορείας αίτησης συνταξιοδότησης</v>
      </c>
      <c r="E908" t="s">
        <v>44</v>
      </c>
    </row>
    <row r="909" spans="1:5" x14ac:dyDescent="0.25">
      <c r="A909">
        <v>16013</v>
      </c>
      <c r="B909" t="s">
        <v>8</v>
      </c>
      <c r="C909" t="s">
        <v>9</v>
      </c>
      <c r="D909" t="str">
        <f>HYPERLINK("Https://www.gov.gr/ipiresies/ergasia-kai-asphalise/suntaxiodotese/pause-askeses-epaggelmatos-mekhanikou","Παύση άσκησης επαγγέλματος μηχανικού")</f>
        <v>Παύση άσκησης επαγγέλματος μηχανικού</v>
      </c>
      <c r="E909" t="s">
        <v>41</v>
      </c>
    </row>
    <row r="910" spans="1:5" x14ac:dyDescent="0.25">
      <c r="A910">
        <v>16345</v>
      </c>
      <c r="B910" t="s">
        <v>8</v>
      </c>
      <c r="C910" t="s">
        <v>9</v>
      </c>
      <c r="D910" t="str">
        <f>HYPERLINK("Https://www.gov.gr/ipiresies/ergasia-kai-asphalise/suntaxiodotese/prokatabole-suntaxes-eephka","Προκαταβολή σύνταξης (eΕΦΚΑ)")</f>
        <v>Προκαταβολή σύνταξης (eΕΦΚΑ)</v>
      </c>
      <c r="E910" t="s">
        <v>44</v>
      </c>
    </row>
    <row r="911" spans="1:5" x14ac:dyDescent="0.25">
      <c r="A911">
        <v>16812</v>
      </c>
      <c r="B911" t="s">
        <v>8</v>
      </c>
      <c r="C911" t="s">
        <v>9</v>
      </c>
      <c r="D911" t="str">
        <f>HYPERLINK("Https://www.gov.gr/ipiresies/ergasia-kai-asphalise/suntaxiodotese/psephiako-domatio-epikoinonias-gia-aiteseis-suntaxiodoteses","Ψηφιακό Δωμάτιο Επικοινωνίας για αιτήσεις συνταξιοδότησης")</f>
        <v>Ψηφιακό Δωμάτιο Επικοινωνίας για αιτήσεις συνταξιοδότησης</v>
      </c>
      <c r="E911" t="s">
        <v>44</v>
      </c>
    </row>
    <row r="912" spans="1:5" x14ac:dyDescent="0.25">
      <c r="A912">
        <v>15762</v>
      </c>
      <c r="B912" t="s">
        <v>108</v>
      </c>
      <c r="C912" t="s">
        <v>124</v>
      </c>
      <c r="D912" t="str">
        <f>HYPERLINK("Https://www.gov.gr/ipiresies/oikogeneia/apoleia/aponome-kurias-suntaxes-logo-thanatou-asphalismenou","Απονομή κύριας σύνταξης λόγω θανάτου ασφαλισμένου")</f>
        <v>Απονομή κύριας σύνταξης λόγω θανάτου ασφαλισμένου</v>
      </c>
      <c r="E912" t="s">
        <v>44</v>
      </c>
    </row>
    <row r="913" spans="1:5" x14ac:dyDescent="0.25">
      <c r="A913">
        <v>16568</v>
      </c>
      <c r="B913" t="s">
        <v>108</v>
      </c>
      <c r="C913" t="s">
        <v>124</v>
      </c>
      <c r="D913" t="str">
        <f>HYPERLINK("Https://www.gov.gr/ipiresies/oikogeneia/apoleia/epistrophe-anadromikon-se-kleronomous-apo-epanupologismo","Επιστροφή αναδρομικών σε κληρονόμους από επανυπολογισμό")</f>
        <v>Επιστροφή αναδρομικών σε κληρονόμους από επανυπολογισμό</v>
      </c>
      <c r="E913" t="s">
        <v>44</v>
      </c>
    </row>
    <row r="914" spans="1:5" x14ac:dyDescent="0.25">
      <c r="A914">
        <v>15881</v>
      </c>
      <c r="B914" t="s">
        <v>108</v>
      </c>
      <c r="C914" t="s">
        <v>124</v>
      </c>
      <c r="D914" t="str">
        <f>HYPERLINK("Https://www.gov.gr/ipiresies/oikogeneia/apoleia/epistrophe-poson-meioseon-suntaxeon-se-kleronomous","Επιστροφή ποσών μειώσεων συντάξεων σε κληρονόμους")</f>
        <v>Επιστροφή ποσών μειώσεων συντάξεων σε κληρονόμους</v>
      </c>
      <c r="E914" t="s">
        <v>44</v>
      </c>
    </row>
    <row r="915" spans="1:5" x14ac:dyDescent="0.25">
      <c r="A915">
        <v>15748</v>
      </c>
      <c r="B915" t="s">
        <v>108</v>
      </c>
      <c r="C915" t="s">
        <v>124</v>
      </c>
      <c r="D915" t="str">
        <f>HYPERLINK("Https://www.gov.gr/ipiresies/oikogeneia/apoleia/lexiarkhike-praxe-thanatou","Ληξιαρχική πράξη θανάτου")</f>
        <v>Ληξιαρχική πράξη θανάτου</v>
      </c>
      <c r="E915" t="s">
        <v>68</v>
      </c>
    </row>
    <row r="916" spans="1:5" x14ac:dyDescent="0.25">
      <c r="A916">
        <v>15761</v>
      </c>
      <c r="B916" t="s">
        <v>108</v>
      </c>
      <c r="C916" t="s">
        <v>124</v>
      </c>
      <c r="D916" t="str">
        <f>HYPERLINK("Https://www.gov.gr/ipiresies/oikogeneia/apoleia/metabibase-kurias-suntaxes-logo-thanatou-asphalismenou","Μεταβίβαση κύριας σύνταξης λόγω θανάτου ασφαλισμένου")</f>
        <v>Μεταβίβαση κύριας σύνταξης λόγω θανάτου ασφαλισμένου</v>
      </c>
      <c r="E916" t="s">
        <v>44</v>
      </c>
    </row>
    <row r="917" spans="1:5" x14ac:dyDescent="0.25">
      <c r="A917">
        <v>15741</v>
      </c>
      <c r="B917" t="s">
        <v>108</v>
      </c>
      <c r="C917" t="s">
        <v>124</v>
      </c>
      <c r="D917" t="str">
        <f>HYPERLINK("Https://www.gov.gr/ipiresies/oikogeneia/apoleia/parastatika-exodon-kedeias","Παραστατικά εξόδων κηδείας")</f>
        <v>Παραστατικά εξόδων κηδείας</v>
      </c>
      <c r="E917" t="s">
        <v>44</v>
      </c>
    </row>
    <row r="918" spans="1:5" x14ac:dyDescent="0.25">
      <c r="A918">
        <v>15833</v>
      </c>
      <c r="B918" t="s">
        <v>108</v>
      </c>
      <c r="C918" t="s">
        <v>124</v>
      </c>
      <c r="D918" t="str">
        <f>HYPERLINK("Https://www.gov.gr/ipiresies/oikogeneia/apoleia/pistopoietiko-egguteron-suggenon","Πιστοποιητικό εγγυτέρων συγγενών")</f>
        <v>Πιστοποιητικό εγγυτέρων συγγενών</v>
      </c>
      <c r="E918" t="s">
        <v>68</v>
      </c>
    </row>
    <row r="919" spans="1:5" x14ac:dyDescent="0.25">
      <c r="A919">
        <v>15743</v>
      </c>
      <c r="B919" t="s">
        <v>108</v>
      </c>
      <c r="C919" t="s">
        <v>124</v>
      </c>
      <c r="D919" t="str">
        <f>HYPERLINK("Https://www.gov.gr/ipiresies/oikogeneia/apoleia/pistopoietiko-peri-me-apopoieses-kleronomias","Πιστοποιητικό περί μη αποποίησης κληρονομιάς")</f>
        <v>Πιστοποιητικό περί μη αποποίησης κληρονομιάς</v>
      </c>
      <c r="E919" t="s">
        <v>111</v>
      </c>
    </row>
    <row r="920" spans="1:5" x14ac:dyDescent="0.25">
      <c r="A920">
        <v>15744</v>
      </c>
      <c r="B920" t="s">
        <v>108</v>
      </c>
      <c r="C920" t="s">
        <v>124</v>
      </c>
      <c r="D920" t="str">
        <f>HYPERLINK("Https://www.gov.gr/ipiresies/oikogeneia/apoleia/pistopoietiko-peri-me-demosieuses-diathekes","Πιστοποιητικό περί μη δημοσίευσης διαθήκης")</f>
        <v>Πιστοποιητικό περί μη δημοσίευσης διαθήκης</v>
      </c>
      <c r="E920" t="s">
        <v>111</v>
      </c>
    </row>
    <row r="921" spans="1:5" x14ac:dyDescent="0.25">
      <c r="A921">
        <v>15745</v>
      </c>
      <c r="B921" t="s">
        <v>108</v>
      </c>
      <c r="C921" t="s">
        <v>124</v>
      </c>
      <c r="D921" t="str">
        <f>HYPERLINK("Https://www.gov.gr/ipiresies/oikogeneia/apoleia/pistopoietiko-peri-me-prosboles-amphisbeteses-kleronomikou-dikaiomatos","Πιστοποιητικό περί μη προσβολής / αμφισβήτησης κληρονομικού δικαιώματος")</f>
        <v>Πιστοποιητικό περί μη προσβολής / αμφισβήτησης κληρονομικού δικαιώματος</v>
      </c>
      <c r="E921" t="s">
        <v>111</v>
      </c>
    </row>
    <row r="922" spans="1:5" x14ac:dyDescent="0.25">
      <c r="A922">
        <v>15742</v>
      </c>
      <c r="B922" t="s">
        <v>108</v>
      </c>
      <c r="C922" t="s">
        <v>124</v>
      </c>
      <c r="D922" t="str">
        <f>HYPERLINK("Https://www.gov.gr/ipiresies/oikogeneia/apoleia/plerome-exodon-kedeias","Πληρωμή εξόδων κηδείας")</f>
        <v>Πληρωμή εξόδων κηδείας</v>
      </c>
      <c r="E922" t="s">
        <v>44</v>
      </c>
    </row>
    <row r="923" spans="1:5" x14ac:dyDescent="0.25">
      <c r="A923">
        <v>16722</v>
      </c>
      <c r="B923" t="s">
        <v>108</v>
      </c>
      <c r="C923" t="s">
        <v>148</v>
      </c>
      <c r="D923" t="str">
        <f>HYPERLINK("Https://www.gov.gr/ipiresies/oikogeneia/gennese/delose-baptises-anelikou","Δήλωση βάπτισης ανηλίκου")</f>
        <v>Δήλωση βάπτισης ανηλίκου</v>
      </c>
      <c r="E923" t="s">
        <v>68</v>
      </c>
    </row>
    <row r="924" spans="1:5" x14ac:dyDescent="0.25">
      <c r="A924">
        <v>16732</v>
      </c>
      <c r="B924" t="s">
        <v>108</v>
      </c>
      <c r="C924" t="s">
        <v>148</v>
      </c>
      <c r="D924" t="str">
        <f>HYPERLINK("Https://www.gov.gr/ipiresies/oikogeneia/gennese/birthregistration","Δήλωση Γέννησης")</f>
        <v>Δήλωση Γέννησης</v>
      </c>
      <c r="E924" t="s">
        <v>68</v>
      </c>
    </row>
    <row r="925" spans="1:5" x14ac:dyDescent="0.25">
      <c r="A925">
        <v>16787</v>
      </c>
      <c r="B925" t="s">
        <v>108</v>
      </c>
      <c r="C925" t="s">
        <v>148</v>
      </c>
      <c r="D925" t="str">
        <f>HYPERLINK("Https://www.gov.gr/ipiresies/oikogeneia/gennese/epidoma-genneses","Επίδομα γέννησης")</f>
        <v>Επίδομα γέννησης</v>
      </c>
      <c r="E925" t="s">
        <v>87</v>
      </c>
    </row>
    <row r="926" spans="1:5" x14ac:dyDescent="0.25">
      <c r="A926">
        <v>16604</v>
      </c>
      <c r="B926" t="s">
        <v>108</v>
      </c>
      <c r="C926" t="s">
        <v>148</v>
      </c>
      <c r="D926" t="str">
        <f>HYPERLINK("Https://www.gov.gr/ipiresies/oikogeneia/gennese/epidoma-metrotetas","Επίδομα μητρότητας")</f>
        <v>Επίδομα μητρότητας</v>
      </c>
      <c r="E926" t="s">
        <v>44</v>
      </c>
    </row>
    <row r="927" spans="1:5" x14ac:dyDescent="0.25">
      <c r="A927">
        <v>15725</v>
      </c>
      <c r="B927" t="s">
        <v>108</v>
      </c>
      <c r="C927" t="s">
        <v>148</v>
      </c>
      <c r="D927" t="str">
        <f>HYPERLINK("Https://www.gov.gr/ipiresies/oikogeneia/gennese/lexiarkhike-praxe-genneses","Ληξιαρχική πράξη γέννησης")</f>
        <v>Ληξιαρχική πράξη γέννησης</v>
      </c>
      <c r="E927" t="s">
        <v>68</v>
      </c>
    </row>
    <row r="928" spans="1:5" x14ac:dyDescent="0.25">
      <c r="A928">
        <v>16721</v>
      </c>
      <c r="B928" t="s">
        <v>108</v>
      </c>
      <c r="C928" t="s">
        <v>148</v>
      </c>
      <c r="D928" t="str">
        <f>HYPERLINK("Https://www.gov.gr/ipiresies/oikogeneia/gennese/onomatodosia-anelikou","Ονοματοδοσία ανηλίκου")</f>
        <v>Ονοματοδοσία ανηλίκου</v>
      </c>
      <c r="E928" t="s">
        <v>68</v>
      </c>
    </row>
    <row r="929" spans="1:5" x14ac:dyDescent="0.25">
      <c r="A929">
        <v>15578</v>
      </c>
      <c r="B929" t="s">
        <v>108</v>
      </c>
      <c r="C929" t="s">
        <v>148</v>
      </c>
      <c r="D929" t="str">
        <f>HYPERLINK("Https://www.gov.gr/ipiresies/oikogeneia/gennese/pistopoietiko-genneses","Πιστοποιητικό γέννησης")</f>
        <v>Πιστοποιητικό γέννησης</v>
      </c>
      <c r="E929" t="s">
        <v>68</v>
      </c>
    </row>
    <row r="930" spans="1:5" x14ac:dyDescent="0.25">
      <c r="A930">
        <v>16581</v>
      </c>
      <c r="B930" t="s">
        <v>108</v>
      </c>
      <c r="C930" t="s">
        <v>134</v>
      </c>
      <c r="D930" t="str">
        <f>HYPERLINK("Https://www.gov.gr/ipiresies/oikogeneia/diazugio/aulo-sunainetiko-diazugio","Άυλο συναινετικό διαζύγιο")</f>
        <v>Άυλο συναινετικό διαζύγιο</v>
      </c>
      <c r="E930" t="s">
        <v>111</v>
      </c>
    </row>
    <row r="931" spans="1:5" x14ac:dyDescent="0.25">
      <c r="A931">
        <v>16176</v>
      </c>
      <c r="B931" t="s">
        <v>108</v>
      </c>
      <c r="C931" t="s">
        <v>109</v>
      </c>
      <c r="D931" t="str">
        <f>HYPERLINK("Https://www.gov.gr/ipiresies/oikogeneia/oikogeneiake-katastase/anoigma-oikogeneiakes-meridas-logo-gamou","Άνοιγμα οικογενειακής μερίδας λόγω γάμου")</f>
        <v>Άνοιγμα οικογενειακής μερίδας λόγω γάμου</v>
      </c>
      <c r="E931" t="s">
        <v>68</v>
      </c>
    </row>
    <row r="932" spans="1:5" x14ac:dyDescent="0.25">
      <c r="A932">
        <v>15726</v>
      </c>
      <c r="B932" t="s">
        <v>108</v>
      </c>
      <c r="C932" t="s">
        <v>109</v>
      </c>
      <c r="D932" t="str">
        <f>HYPERLINK("Https://www.gov.gr/ipiresies/oikogeneia/oikogeneiake-katastase/lexiarkhike-praxe-gamou","Ληξιαρχική πράξη γάμου")</f>
        <v>Ληξιαρχική πράξη γάμου</v>
      </c>
      <c r="E932" t="s">
        <v>68</v>
      </c>
    </row>
    <row r="933" spans="1:5" x14ac:dyDescent="0.25">
      <c r="A933">
        <v>15727</v>
      </c>
      <c r="B933" t="s">
        <v>108</v>
      </c>
      <c r="C933" t="s">
        <v>109</v>
      </c>
      <c r="D933" t="str">
        <f>HYPERLINK("Https://www.gov.gr/ipiresies/oikogeneia/oikogeneiake-katastase/lexiarkhike-praxe-sumphonou-sumbioses","Ληξιαρχική πράξη συμφώνου συμβίωσης")</f>
        <v>Ληξιαρχική πράξη συμφώνου συμβίωσης</v>
      </c>
      <c r="E933" t="s">
        <v>68</v>
      </c>
    </row>
    <row r="934" spans="1:5" x14ac:dyDescent="0.25">
      <c r="A934">
        <v>16175</v>
      </c>
      <c r="B934" t="s">
        <v>108</v>
      </c>
      <c r="C934" t="s">
        <v>109</v>
      </c>
      <c r="D934" t="str">
        <f>HYPERLINK("Https://www.gov.gr/ipiresies/oikogeneia/oikogeneiake-katastase/metademoteuse-enelikou-gia-ten-anaktese-tes-arkhikes-tou-demotikotetas","Μεταδημότευση ενηλίκου για την ανάκτηση της αρχικής του δημοτικότητας")</f>
        <v>Μεταδημότευση ενηλίκου για την ανάκτηση της αρχικής του δημοτικότητας</v>
      </c>
      <c r="E934" t="s">
        <v>68</v>
      </c>
    </row>
    <row r="935" spans="1:5" x14ac:dyDescent="0.25">
      <c r="A935">
        <v>15854</v>
      </c>
      <c r="B935" t="s">
        <v>108</v>
      </c>
      <c r="C935" t="s">
        <v>109</v>
      </c>
      <c r="D935" t="str">
        <f>HYPERLINK("Https://www.gov.gr/ipiresies/oikogeneia/oikogeneiake-katastase/metademoteuse-suzugon-otan-o-enas-einai-ede-demotes","Μεταδημότευση συζύγων όταν ο ένας είναι ήδη δημότης")</f>
        <v>Μεταδημότευση συζύγων όταν ο ένας είναι ήδη δημότης</v>
      </c>
      <c r="E935" t="s">
        <v>68</v>
      </c>
    </row>
    <row r="936" spans="1:5" x14ac:dyDescent="0.25">
      <c r="A936">
        <v>15856</v>
      </c>
      <c r="B936" t="s">
        <v>108</v>
      </c>
      <c r="C936" t="s">
        <v>109</v>
      </c>
      <c r="D936" t="str">
        <f>HYPERLINK("Https://www.gov.gr/ipiresies/oikogeneia/oikogeneiake-katastase/pistopoietiko-eggraphes-sta-metroa-arrenon","Πιστοποιητικό εγγραφής στα μητρώα αρρένων")</f>
        <v>Πιστοποιητικό εγγραφής στα μητρώα αρρένων</v>
      </c>
      <c r="E936" t="s">
        <v>68</v>
      </c>
    </row>
    <row r="937" spans="1:5" x14ac:dyDescent="0.25">
      <c r="A937">
        <v>15855</v>
      </c>
      <c r="B937" t="s">
        <v>108</v>
      </c>
      <c r="C937" t="s">
        <v>109</v>
      </c>
      <c r="D937" t="str">
        <f>HYPERLINK("Https://www.gov.gr/ipiresies/oikogeneia/oikogeneiake-katastase/pistopoietiko-entopiotetas","Πιστοποιητικό εντοπιότητας")</f>
        <v>Πιστοποιητικό εντοπιότητας</v>
      </c>
      <c r="E937" t="s">
        <v>68</v>
      </c>
    </row>
    <row r="938" spans="1:5" x14ac:dyDescent="0.25">
      <c r="A938">
        <v>15692</v>
      </c>
      <c r="B938" t="s">
        <v>108</v>
      </c>
      <c r="C938" t="s">
        <v>109</v>
      </c>
      <c r="D938" t="str">
        <f>HYPERLINK("Https://www.gov.gr/ipiresies/oikogeneia/oikogeneiake-katastase/pistopoietiko-ithageneias","Πιστοποιητικό ιθαγένειας")</f>
        <v>Πιστοποιητικό ιθαγένειας</v>
      </c>
      <c r="E938" t="s">
        <v>68</v>
      </c>
    </row>
    <row r="939" spans="1:5" x14ac:dyDescent="0.25">
      <c r="A939">
        <v>15579</v>
      </c>
      <c r="B939" t="s">
        <v>108</v>
      </c>
      <c r="C939" t="s">
        <v>109</v>
      </c>
      <c r="D939" t="str">
        <f>HYPERLINK("Https://www.gov.gr/ipiresies/oikogeneia/oikogeneiake-katastase/pistopoietiko-oikogeneiakes-katastases","Πιστοποιητικό οικογενειακής κατάστασης")</f>
        <v>Πιστοποιητικό οικογενειακής κατάστασης</v>
      </c>
      <c r="E939" t="s">
        <v>68</v>
      </c>
    </row>
    <row r="940" spans="1:5" x14ac:dyDescent="0.25">
      <c r="A940">
        <v>15649</v>
      </c>
      <c r="B940" t="s">
        <v>13</v>
      </c>
      <c r="C940" t="s">
        <v>49</v>
      </c>
      <c r="D940" t="str">
        <f>HYPERLINK("Https://www.gov.gr/ipiresies/periousia-kai-phorologia/demosia-periousia-kai-ethnika-klerodotemata-koinopheleis-periousies/aiteseis-pros-tis-uperesies-demosias-periousias","Αιτήσεις προς τις υπηρεσίες δημόσιας περιουσίας")</f>
        <v>Αιτήσεις προς τις υπηρεσίες δημόσιας περιουσίας</v>
      </c>
      <c r="E940" t="s">
        <v>15</v>
      </c>
    </row>
    <row r="941" spans="1:5" x14ac:dyDescent="0.25">
      <c r="A941">
        <v>15653</v>
      </c>
      <c r="B941" t="s">
        <v>13</v>
      </c>
      <c r="C941" t="s">
        <v>49</v>
      </c>
      <c r="D941" t="str">
        <f>HYPERLINK("Https://www.gov.gr/ipiresies/periousia-kai-phorologia/demosia-periousia-kai-ethnika-klerodotemata-koinopheleis-periousies/bebaioseis-khoregeses-upotrophias-klerodotematos","Βεβαιώσεις χορήγησης υποτροφίας κληροδοτήματος")</f>
        <v>Βεβαιώσεις χορήγησης υποτροφίας κληροδοτήματος</v>
      </c>
      <c r="E941" t="s">
        <v>15</v>
      </c>
    </row>
    <row r="942" spans="1:5" x14ac:dyDescent="0.25">
      <c r="A942">
        <v>15650</v>
      </c>
      <c r="B942" t="s">
        <v>13</v>
      </c>
      <c r="C942" t="s">
        <v>49</v>
      </c>
      <c r="D942" t="str">
        <f>HYPERLINK("Https://www.gov.gr/ipiresies/periousia-kai-phorologia/demosia-periousia-kai-ethnika-klerodotemata-koinopheleis-periousies/demoprasies-parakhoreses-khreses-aigialou-paralias","Δημοπρασίες παραχώρησης χρήσης αιγιαλού / παραλίας")</f>
        <v>Δημοπρασίες παραχώρησης χρήσης αιγιαλού / παραλίας</v>
      </c>
      <c r="E942" t="s">
        <v>15</v>
      </c>
    </row>
    <row r="943" spans="1:5" x14ac:dyDescent="0.25">
      <c r="A943">
        <v>15652</v>
      </c>
      <c r="B943" t="s">
        <v>13</v>
      </c>
      <c r="C943" t="s">
        <v>49</v>
      </c>
      <c r="D943" t="str">
        <f>HYPERLINK("Https://www.gov.gr/ipiresies/periousia-kai-phorologia/demosia-periousia-kai-ethnika-klerodotemata-koinopheleis-periousies/oi-eidopoieseis-mou-gia-koinophele-perousia","Οι ειδοποιήσεις μου για κοινωφελή περουσία")</f>
        <v>Οι ειδοποιήσεις μου για κοινωφελή περουσία</v>
      </c>
      <c r="E943" t="s">
        <v>15</v>
      </c>
    </row>
    <row r="944" spans="1:5" x14ac:dyDescent="0.25">
      <c r="A944">
        <v>15654</v>
      </c>
      <c r="B944" t="s">
        <v>13</v>
      </c>
      <c r="C944" t="s">
        <v>49</v>
      </c>
      <c r="D944" t="str">
        <f>HYPERLINK("Https://www.gov.gr/ipiresies/periousia-kai-phorologia/demosia-periousia-kai-ethnika-klerodotemata-koinopheleis-periousies/pleromes-klerodotematon","Πληρωμές κληροδοτημάτων")</f>
        <v>Πληρωμές κληροδοτημάτων</v>
      </c>
      <c r="E944" t="s">
        <v>15</v>
      </c>
    </row>
    <row r="945" spans="1:5" x14ac:dyDescent="0.25">
      <c r="A945">
        <v>15655</v>
      </c>
      <c r="B945" t="s">
        <v>13</v>
      </c>
      <c r="C945" t="s">
        <v>49</v>
      </c>
      <c r="D945" t="str">
        <f>HYPERLINK("Https://www.gov.gr/ipiresies/periousia-kai-phorologia/demosia-periousia-kai-ethnika-klerodotemata-koinopheleis-periousies/stoikheia-khoregias-klerodotematos","Στοιχεία χορηγίας κληροδοτήματος")</f>
        <v>Στοιχεία χορηγίας κληροδοτήματος</v>
      </c>
      <c r="E945" t="s">
        <v>15</v>
      </c>
    </row>
    <row r="946" spans="1:5" x14ac:dyDescent="0.25">
      <c r="A946">
        <v>15651</v>
      </c>
      <c r="B946" t="s">
        <v>13</v>
      </c>
      <c r="C946" t="s">
        <v>49</v>
      </c>
      <c r="D946" t="str">
        <f>HYPERLINK("Https://www.gov.gr/ipiresies/periousia-kai-phorologia/demosia-periousia-kai-ethnika-klerodotemata-koinopheleis-periousies/upobole-aiteseon-stoikheion-eggraphon-gia-koinopheleis-periousies","Υποβολή αιτήσεων / στοιχείων / εγγράφων για κοινωφελείς περιουσίες")</f>
        <v>Υποβολή αιτήσεων / στοιχείων / εγγράφων για κοινωφελείς περιουσίες</v>
      </c>
      <c r="E946" t="s">
        <v>15</v>
      </c>
    </row>
    <row r="947" spans="1:5" x14ac:dyDescent="0.25">
      <c r="A947">
        <v>15551</v>
      </c>
      <c r="B947" t="s">
        <v>13</v>
      </c>
      <c r="C947" t="s">
        <v>114</v>
      </c>
      <c r="D947" t="str">
        <f>HYPERLINK("Https://www.gov.gr/ipiresies/periousia-kai-phorologia/diakheirise-akinetes-periousias/antikeimenikos-prosdiorismos-axion-akineton-apaa","Αντικειμενικός προσδιορισμός αξιών ακινήτων σε χάρτη")</f>
        <v>Αντικειμενικός προσδιορισμός αξιών ακινήτων σε χάρτη</v>
      </c>
      <c r="E947" t="s">
        <v>15</v>
      </c>
    </row>
    <row r="948" spans="1:5" x14ac:dyDescent="0.25">
      <c r="A948">
        <v>15233</v>
      </c>
      <c r="B948" t="s">
        <v>13</v>
      </c>
      <c r="C948" t="s">
        <v>114</v>
      </c>
      <c r="D948" t="str">
        <f>HYPERLINK("Https://www.gov.gr/ipiresies/periousia-kai-phorologia/diakheirise-akinetes-periousias/apodeiktiko-kataboles-phorou","Αποδεικτικό καταβολής φόρου")</f>
        <v>Αποδεικτικό καταβολής φόρου</v>
      </c>
      <c r="E948" t="s">
        <v>59</v>
      </c>
    </row>
    <row r="949" spans="1:5" x14ac:dyDescent="0.25">
      <c r="A949">
        <v>16166</v>
      </c>
      <c r="B949" t="s">
        <v>13</v>
      </c>
      <c r="C949" t="s">
        <v>114</v>
      </c>
      <c r="D949" t="str">
        <f>HYPERLINK("Https://www.gov.gr/ipiresies/periousia-kai-phorologia/diakheirise-akinetes-periousias/apospasma-kuromenon-ktematologikon-stoikheion","Απόσπασμα κυρωμένων κτηματολογικών στοιχείων")</f>
        <v>Απόσπασμα κυρωμένων κτηματολογικών στοιχείων</v>
      </c>
      <c r="E949" t="s">
        <v>31</v>
      </c>
    </row>
    <row r="950" spans="1:5" x14ac:dyDescent="0.25">
      <c r="A950">
        <v>15262</v>
      </c>
      <c r="B950" t="s">
        <v>13</v>
      </c>
      <c r="C950" t="s">
        <v>114</v>
      </c>
      <c r="D950" t="str">
        <f>HYPERLINK("Https://www.gov.gr/ipiresies/periousia-kai-phorologia/diakheirise-akinetes-periousias/brakhukhronia-misthose-akineton","Βραχυχρόνια μίσθωση ακινήτων")</f>
        <v>Βραχυχρόνια μίσθωση ακινήτων</v>
      </c>
      <c r="E950" t="s">
        <v>59</v>
      </c>
    </row>
    <row r="951" spans="1:5" x14ac:dyDescent="0.25">
      <c r="A951">
        <v>15263</v>
      </c>
      <c r="B951" t="s">
        <v>13</v>
      </c>
      <c r="C951" t="s">
        <v>114</v>
      </c>
      <c r="D951" t="str">
        <f>HYPERLINK("Https://www.gov.gr/ipiresies/periousia-kai-phorologia/diakheirise-akinetes-periousias/brakhukhronia-misthose-akineton-gia-epikheireseis","Βραχυχρόνια μίσθωση ακινήτων για επιχειρήσεις")</f>
        <v>Βραχυχρόνια μίσθωση ακινήτων για επιχειρήσεις</v>
      </c>
      <c r="E951" t="s">
        <v>59</v>
      </c>
    </row>
    <row r="952" spans="1:5" x14ac:dyDescent="0.25">
      <c r="A952">
        <v>15281</v>
      </c>
      <c r="B952" t="s">
        <v>13</v>
      </c>
      <c r="C952" t="s">
        <v>114</v>
      </c>
      <c r="D952" t="str">
        <f>HYPERLINK("Https://www.gov.gr/ipiresies/periousia-kai-phorologia/diakheirise-akinetes-periousias/delose-e9-enphia","Δήλωση Ε9 / ΕΝΦΙΑ")</f>
        <v>Δήλωση Ε9 / ΕΝΦΙΑ</v>
      </c>
      <c r="E952" t="s">
        <v>59</v>
      </c>
    </row>
    <row r="953" spans="1:5" x14ac:dyDescent="0.25">
      <c r="A953">
        <v>16781</v>
      </c>
      <c r="B953" t="s">
        <v>13</v>
      </c>
      <c r="C953" t="s">
        <v>114</v>
      </c>
      <c r="D953" t="str">
        <f>HYPERLINK("Https://www.gov.gr/ipiresies/periousia-kai-phorologia/diakheirise-akinetes-periousias/delose-kurias-katoikias","Δήλωση κύριας κατοικίας")</f>
        <v>Δήλωση κύριας κατοικίας</v>
      </c>
      <c r="E953" t="s">
        <v>59</v>
      </c>
    </row>
    <row r="954" spans="1:5" x14ac:dyDescent="0.25">
      <c r="A954">
        <v>16343</v>
      </c>
      <c r="B954" t="s">
        <v>13</v>
      </c>
      <c r="C954" t="s">
        <v>114</v>
      </c>
      <c r="D954" t="str">
        <f>HYPERLINK("Https://www.gov.gr/ipiresies/periousia-kai-phorologia/diakheirise-akinetes-periousias/delose-phorou-metabibases-akinetou","Δήλωση φόρου μεταβίβασης ακινήτου")</f>
        <v>Δήλωση φόρου μεταβίβασης ακινήτου</v>
      </c>
      <c r="E954" t="s">
        <v>59</v>
      </c>
    </row>
    <row r="955" spans="1:5" x14ac:dyDescent="0.25">
      <c r="A955">
        <v>16165</v>
      </c>
      <c r="B955" t="s">
        <v>13</v>
      </c>
      <c r="C955" t="s">
        <v>114</v>
      </c>
      <c r="D955" t="str">
        <f>HYPERLINK("Https://www.gov.gr/ipiresies/periousia-kai-phorologia/diakheirise-akinetes-periousias/diorthose-ktematologikon-stoikheion-parakhoreteriou-apophases-epitropes-apallotrioseon-agrotikou-akinetou","Διόρθωση κτηματολογικών στοιχείων / παραχωρητηρίου / απόφασης επιτροπής απαλλοτριώσεων αγροτικού ακίνητου")</f>
        <v>Διόρθωση κτηματολογικών στοιχείων / παραχωρητηρίου / απόφασης επιτροπής απαλλοτριώσεων αγροτικού ακίνητου</v>
      </c>
      <c r="E955" t="s">
        <v>31</v>
      </c>
    </row>
    <row r="956" spans="1:5" x14ac:dyDescent="0.25">
      <c r="A956">
        <v>15705</v>
      </c>
      <c r="B956" t="s">
        <v>13</v>
      </c>
      <c r="C956" t="s">
        <v>114</v>
      </c>
      <c r="D956" t="str">
        <f>HYPERLINK("Https://www.gov.gr/ipiresies/periousia-kai-phorologia/diakheirise-akinetes-periousias/diorthose-tetragonikon-metron-akineton","Διόρθωση τετραγωνικών μέτρων ακινήτων")</f>
        <v>Διόρθωση τετραγωνικών μέτρων ακινήτων</v>
      </c>
      <c r="E956" t="s">
        <v>115</v>
      </c>
    </row>
    <row r="957" spans="1:5" x14ac:dyDescent="0.25">
      <c r="A957">
        <v>15897</v>
      </c>
      <c r="B957" t="s">
        <v>13</v>
      </c>
      <c r="C957" t="s">
        <v>114</v>
      </c>
      <c r="D957" t="str">
        <f>HYPERLINK("Https://www.gov.gr/ipiresies/periousia-kai-phorologia/diakheirise-akinetes-periousias/exoikonomo-2021","Εξοικονομώ 2021")</f>
        <v>Εξοικονομώ 2021</v>
      </c>
      <c r="E957" t="s">
        <v>17</v>
      </c>
    </row>
    <row r="958" spans="1:5" x14ac:dyDescent="0.25">
      <c r="A958">
        <v>16363</v>
      </c>
      <c r="B958" t="s">
        <v>13</v>
      </c>
      <c r="C958" t="s">
        <v>114</v>
      </c>
      <c r="D958" t="str">
        <f>HYPERLINK("Https://www.gov.gr/ipiresies/periousia-kai-phorologia/diakheirise-akinetes-periousias/katakhorise-stoikheion-sto-elektroniko-metroo-tautotetas-ktiriou","Καταχώριση στοιχείων στο Ηλεκτρονικό Μητρώο Ταυτότητας Κτιρίου")</f>
        <v>Καταχώριση στοιχείων στο Ηλεκτρονικό Μητρώο Ταυτότητας Κτιρίου</v>
      </c>
      <c r="E958" t="s">
        <v>57</v>
      </c>
    </row>
    <row r="959" spans="1:5" x14ac:dyDescent="0.25">
      <c r="A959">
        <v>15438</v>
      </c>
      <c r="B959" t="s">
        <v>13</v>
      </c>
      <c r="C959" t="s">
        <v>114</v>
      </c>
      <c r="D959" t="str">
        <f>HYPERLINK("Https://www.gov.gr/ipiresies/periousia-kai-phorologia/diakheirise-akinetes-periousias/metroo-axion-metabibaseon-akineton","Μητρώο αξιών μεταβιβάσεων ακινήτων")</f>
        <v>Μητρώο αξιών μεταβιβάσεων ακινήτων</v>
      </c>
      <c r="E959" t="s">
        <v>15</v>
      </c>
    </row>
    <row r="960" spans="1:5" x14ac:dyDescent="0.25">
      <c r="A960">
        <v>15446</v>
      </c>
      <c r="B960" t="s">
        <v>13</v>
      </c>
      <c r="C960" t="s">
        <v>114</v>
      </c>
      <c r="D960" t="str">
        <f>HYPERLINK("Https://www.gov.gr/ipiresies/periousia-kai-phorologia/diakheirise-akinetes-periousias/metroo-pistopoiemenon-ektimeton","Μητρώο πιστοποιημένων εκτιμητών")</f>
        <v>Μητρώο πιστοποιημένων εκτιμητών</v>
      </c>
      <c r="E960" t="s">
        <v>15</v>
      </c>
    </row>
    <row r="961" spans="1:5" x14ac:dyDescent="0.25">
      <c r="A961">
        <v>15459</v>
      </c>
      <c r="B961" t="s">
        <v>13</v>
      </c>
      <c r="C961" t="s">
        <v>114</v>
      </c>
      <c r="D961" t="str">
        <f>HYPERLINK("Https://www.gov.gr/ipiresies/periousia-kai-phorologia/diakheirise-akinetes-periousias/misthoteria-akineton","Μισθωτήρια ακινήτων")</f>
        <v>Μισθωτήρια ακινήτων</v>
      </c>
      <c r="E961" t="s">
        <v>59</v>
      </c>
    </row>
    <row r="962" spans="1:5" x14ac:dyDescent="0.25">
      <c r="A962">
        <v>16050</v>
      </c>
      <c r="B962" t="s">
        <v>13</v>
      </c>
      <c r="C962" t="s">
        <v>114</v>
      </c>
      <c r="D962" t="str">
        <f>HYPERLINK("Https://www.gov.gr/ipiresies/periousia-kai-phorologia/diakheirise-akinetes-periousias/parakhoreterio-gia-proskurose-tmematos-oikopedou-se-diplane-idioktesia","Παραχωρητήριο για προσκύρωση τμήματος οικοπέδου σε διπλανή ιδιοκτησία")</f>
        <v>Παραχωρητήριο για προσκύρωση τμήματος οικοπέδου σε διπλανή ιδιοκτησία</v>
      </c>
      <c r="E962" t="s">
        <v>31</v>
      </c>
    </row>
    <row r="963" spans="1:5" x14ac:dyDescent="0.25">
      <c r="A963">
        <v>16364</v>
      </c>
      <c r="B963" t="s">
        <v>13</v>
      </c>
      <c r="C963" t="s">
        <v>114</v>
      </c>
      <c r="D963" t="str">
        <f>HYPERLINK("Https://www.gov.gr/ipiresies/periousia-kai-phorologia/diakheirise-akinetes-periousias/pistopoietiko-plerotetas-tautotetas-ktiriou-dieremenes-idioktesias","Πιστοποιητικό πληρότητας ταυτότητας κτιρίου /διηρημένης ιδιοκτησίας")</f>
        <v>Πιστοποιητικό πληρότητας ταυτότητας κτιρίου /διηρημένης ιδιοκτησίας</v>
      </c>
      <c r="E963" t="s">
        <v>57</v>
      </c>
    </row>
    <row r="964" spans="1:5" x14ac:dyDescent="0.25">
      <c r="A964">
        <v>15894</v>
      </c>
      <c r="B964" t="s">
        <v>13</v>
      </c>
      <c r="C964" t="s">
        <v>14</v>
      </c>
      <c r="D964" t="str">
        <f>HYPERLINK("Https://www.gov.gr/ipiresies/periousia-kai-phorologia/diakheirise-opheilon/aitese-epanaprosdiorismou-dikasimou-ekkremon-upotheseon-n-3869-2010","Aίτηση επαναπροσδιορισμού δικάσιμου εκκρεμών υποθέσεων Ν. 3869/2010")</f>
        <v>Aίτηση επαναπροσδιορισμού δικάσιμου εκκρεμών υποθέσεων Ν. 3869/2010</v>
      </c>
      <c r="E964" t="s">
        <v>15</v>
      </c>
    </row>
    <row r="965" spans="1:5" x14ac:dyDescent="0.25">
      <c r="A965">
        <v>16460</v>
      </c>
      <c r="B965" t="s">
        <v>13</v>
      </c>
      <c r="C965" t="s">
        <v>14</v>
      </c>
      <c r="D965" t="str">
        <f>HYPERLINK("Https://www.gov.gr/ipiresies/periousia-kai-phorologia/diakheirise-opheilon/bebaiose-eualotou-opheilete","Βεβαίωση ευάλωτου οφειλέτη")</f>
        <v>Βεβαίωση ευάλωτου οφειλέτη</v>
      </c>
      <c r="E965" t="s">
        <v>15</v>
      </c>
    </row>
    <row r="966" spans="1:5" x14ac:dyDescent="0.25">
      <c r="A966">
        <v>16424</v>
      </c>
      <c r="B966" t="s">
        <v>13</v>
      </c>
      <c r="C966" t="s">
        <v>14</v>
      </c>
      <c r="D966" t="str">
        <f>HYPERLINK("Https://www.gov.gr/ipiresies/periousia-kai-phorologia/diakheirise-opheilon/exodikastikos-mekhanismos-ruthmises-opheilon","Εξωδικαστικός μηχανισμός ρύθμισης οφειλών")</f>
        <v>Εξωδικαστικός μηχανισμός ρύθμισης οφειλών</v>
      </c>
      <c r="E966" t="s">
        <v>15</v>
      </c>
    </row>
    <row r="967" spans="1:5" x14ac:dyDescent="0.25">
      <c r="A967">
        <v>15764</v>
      </c>
      <c r="B967" t="s">
        <v>13</v>
      </c>
      <c r="C967" t="s">
        <v>14</v>
      </c>
      <c r="D967" t="str">
        <f>HYPERLINK("Https://www.gov.gr/ipiresies/periousia-kai-phorologia/diakheirise-opheilon/epidotese-daneion-kurias-katoikias-plegenton-koronoiou-gephura-i","Επιδότηση δανείων κύριας κατοικίας πληγέντων κορωνοιού - Γέφυρα Ι")</f>
        <v>Επιδότηση δανείων κύριας κατοικίας πληγέντων κορωνοιού - Γέφυρα Ι</v>
      </c>
      <c r="E967" t="s">
        <v>15</v>
      </c>
    </row>
    <row r="968" spans="1:5" x14ac:dyDescent="0.25">
      <c r="A968">
        <v>16377</v>
      </c>
      <c r="B968" t="s">
        <v>13</v>
      </c>
      <c r="C968" t="s">
        <v>14</v>
      </c>
      <c r="D968" t="str">
        <f>HYPERLINK("Https://www.gov.gr/ipiresies/periousia-kai-phorologia/diakheirise-opheilon/katakhorise-sto-elektroniko-metroo-pheregguotetas","Ηλεκτρονικό Μητρώο Φερεγγυότητας")</f>
        <v>Ηλεκτρονικό Μητρώο Φερεγγυότητας</v>
      </c>
      <c r="E968" t="s">
        <v>15</v>
      </c>
    </row>
    <row r="969" spans="1:5" x14ac:dyDescent="0.25">
      <c r="A969">
        <v>16376</v>
      </c>
      <c r="B969" t="s">
        <v>13</v>
      </c>
      <c r="C969" t="s">
        <v>14</v>
      </c>
      <c r="D969" t="str">
        <f>HYPERLINK("Https://www.gov.gr/ipiresies/periousia-kai-phorologia/diakheirise-opheilon/elektroniko-metroo-pheregguotetas-demosieuseis","Ηλεκτρονικό Μητρώο Φερεγγυότητας- Δημοσιεύσεις")</f>
        <v>Ηλεκτρονικό Μητρώο Φερεγγυότητας- Δημοσιεύσεις</v>
      </c>
      <c r="E969" t="s">
        <v>15</v>
      </c>
    </row>
    <row r="970" spans="1:5" x14ac:dyDescent="0.25">
      <c r="A970">
        <v>16486</v>
      </c>
      <c r="B970" t="s">
        <v>13</v>
      </c>
      <c r="C970" t="s">
        <v>14</v>
      </c>
      <c r="D970" t="str">
        <f>HYPERLINK("Https://www.gov.gr/ipiresies/periousia-kai-phorologia/diakheirise-opheilon/metroo-diakheiriston-apheregguotetas","Μητρώο διαχειριστών αφερεγγυότητας")</f>
        <v>Μητρώο διαχειριστών αφερεγγυότητας</v>
      </c>
      <c r="E970" t="s">
        <v>15</v>
      </c>
    </row>
    <row r="971" spans="1:5" x14ac:dyDescent="0.25">
      <c r="A971">
        <v>16339</v>
      </c>
      <c r="B971" t="s">
        <v>13</v>
      </c>
      <c r="C971" t="s">
        <v>14</v>
      </c>
      <c r="D971" t="str">
        <f>HYPERLINK("Https://www.gov.gr/ipiresies/periousia-kai-phorologia/diakheirise-opheilon/metroo-empeirognomonon-anadiarthroses-opheilon","Μητρώο εμπειρογνωμόνων αναδιάρθρωσης οφειλών")</f>
        <v>Μητρώο εμπειρογνωμόνων αναδιάρθρωσης οφειλών</v>
      </c>
      <c r="E971" t="s">
        <v>15</v>
      </c>
    </row>
    <row r="972" spans="1:5" x14ac:dyDescent="0.25">
      <c r="A972">
        <v>16602</v>
      </c>
      <c r="B972" t="s">
        <v>13</v>
      </c>
      <c r="C972" t="s">
        <v>14</v>
      </c>
      <c r="D972" t="str">
        <f>HYPERLINK("Https://www.gov.gr/ipiresies/periousia-kai-phorologia/diakheirise-opheilon/mekhanismos-egkaires-proeidopoieses-opheileton","Μηχανισμός έγκαιρης προειδοποίησης οφειλετών")</f>
        <v>Μηχανισμός έγκαιρης προειδοποίησης οφειλετών</v>
      </c>
      <c r="E972" t="s">
        <v>15</v>
      </c>
    </row>
    <row r="973" spans="1:5" x14ac:dyDescent="0.25">
      <c r="A973">
        <v>15385</v>
      </c>
      <c r="B973" t="s">
        <v>13</v>
      </c>
      <c r="C973" t="s">
        <v>14</v>
      </c>
      <c r="D973" t="str">
        <f>HYPERLINK("Https://www.gov.gr/ipiresies/periousia-kai-phorologia/diakheirise-opheilon/prostasia-kurias-katoikias","Προστασία κύριας κατοικίας")</f>
        <v>Προστασία κύριας κατοικίας</v>
      </c>
      <c r="E973" t="s">
        <v>15</v>
      </c>
    </row>
    <row r="974" spans="1:5" x14ac:dyDescent="0.25">
      <c r="A974">
        <v>16782</v>
      </c>
      <c r="B974" t="s">
        <v>13</v>
      </c>
      <c r="C974" t="s">
        <v>102</v>
      </c>
      <c r="D974" t="str">
        <f>HYPERLINK("Https://www.gov.gr/ipiresies/periousia-kai-phorologia/epidoteseis-politon/anakuklono-allazo-suskeue","Ανακυκλώνω  –  αλλάζω συσκευή")</f>
        <v>Ανακυκλώνω  –  αλλάζω συσκευή</v>
      </c>
      <c r="E974" t="s">
        <v>17</v>
      </c>
    </row>
    <row r="975" spans="1:5" x14ac:dyDescent="0.25">
      <c r="A975">
        <v>16779</v>
      </c>
      <c r="B975" t="s">
        <v>13</v>
      </c>
      <c r="C975" t="s">
        <v>102</v>
      </c>
      <c r="D975" t="str">
        <f>HYPERLINK("Https://www.gov.gr/ipiresies/periousia-kai-phorologia/epidoteseis-politon/power-pass","Ενίσχυση για την αντιμετώπιση της αύξησης κόστους  κατανάλωσης ηλεκτρικού ρεύματος (Power Pass)")</f>
        <v>Ενίσχυση για την αντιμετώπιση της αύξησης κόστους  κατανάλωσης ηλεκτρικού ρεύματος (Power Pass)</v>
      </c>
      <c r="E975" t="s">
        <v>17</v>
      </c>
    </row>
    <row r="976" spans="1:5" x14ac:dyDescent="0.25">
      <c r="A976">
        <v>16786</v>
      </c>
      <c r="B976" t="s">
        <v>13</v>
      </c>
      <c r="C976" t="s">
        <v>102</v>
      </c>
      <c r="D976" t="str">
        <f>HYPERLINK("Https://www.gov.gr/ipiresies/periousia-kai-phorologia/epidoteseis-politon/eniskhuse-gia-ten-oikonomike-sterixe-tes-touristikes-drasteriotetas-ton-plegeison-periokhon-boreias-euboias-kai-samou-evia-samos-pass","Ενίσχυση για την οικονομική στήριξη της τουριστικής δραστηριότητας των πληγεισών περιοχών Βόρειας Εύβοιας και Σάμου (North Evia - Samos Pass)")</f>
        <v>Ενίσχυση για την οικονομική στήριξη της τουριστικής δραστηριότητας των πληγεισών περιοχών Βόρειας Εύβοιας και Σάμου (North Evia - Samos Pass)</v>
      </c>
      <c r="E976" t="s">
        <v>26</v>
      </c>
    </row>
    <row r="977" spans="1:5" x14ac:dyDescent="0.25">
      <c r="A977">
        <v>15218</v>
      </c>
      <c r="B977" t="s">
        <v>13</v>
      </c>
      <c r="C977" t="s">
        <v>96</v>
      </c>
      <c r="D977" t="str">
        <f>HYPERLINK("Https://www.gov.gr/ipiresies/periousia-kai-phorologia/ktematographese/anazetese-diathesimotetas-aerophotographion","Αναζήτηση διαθεσιμότητας αεροφωτογραφιών")</f>
        <v>Αναζήτηση διαθεσιμότητας αεροφωτογραφιών</v>
      </c>
      <c r="E977" t="s">
        <v>97</v>
      </c>
    </row>
    <row r="978" spans="1:5" x14ac:dyDescent="0.25">
      <c r="A978">
        <v>15418</v>
      </c>
      <c r="B978" t="s">
        <v>13</v>
      </c>
      <c r="C978" t="s">
        <v>96</v>
      </c>
      <c r="D978" t="str">
        <f>HYPERLINK("Https://www.gov.gr/ipiresies/periousia-kai-phorologia/ktematographese/anartese-ktematologikon-stoikheion","Ανάρτηση κτηματολογικών στοιχείων")</f>
        <v>Ανάρτηση κτηματολογικών στοιχείων</v>
      </c>
      <c r="E978" t="s">
        <v>97</v>
      </c>
    </row>
    <row r="979" spans="1:5" x14ac:dyDescent="0.25">
      <c r="A979">
        <v>15823</v>
      </c>
      <c r="B979" t="s">
        <v>13</v>
      </c>
      <c r="C979" t="s">
        <v>96</v>
      </c>
      <c r="D979" t="str">
        <f>HYPERLINK("Https://www.gov.gr/ipiresies/periousia-kai-phorologia/ktematographese/antigrapho-ktematologikou-phullou","Αντίγραφο κτηματολογικού φύλλου")</f>
        <v>Αντίγραφο κτηματολογικού φύλλου</v>
      </c>
      <c r="E979" t="s">
        <v>97</v>
      </c>
    </row>
    <row r="980" spans="1:5" x14ac:dyDescent="0.25">
      <c r="A980">
        <v>15219</v>
      </c>
      <c r="B980" t="s">
        <v>13</v>
      </c>
      <c r="C980" t="s">
        <v>96</v>
      </c>
      <c r="D980" t="str">
        <f>HYPERLINK("Https://www.gov.gr/ipiresies/periousia-kai-phorologia/ktematographese/apodeiktiko-upoboles-elektronikou-diagrammatos","Αποδεικτικό υποβολής ηλεκτρονικού διαγράμματος")</f>
        <v>Αποδεικτικό υποβολής ηλεκτρονικού διαγράμματος</v>
      </c>
      <c r="E980" t="s">
        <v>97</v>
      </c>
    </row>
    <row r="981" spans="1:5" x14ac:dyDescent="0.25">
      <c r="A981">
        <v>15420</v>
      </c>
      <c r="B981" t="s">
        <v>13</v>
      </c>
      <c r="C981" t="s">
        <v>96</v>
      </c>
      <c r="D981" t="str">
        <f>HYPERLINK("Https://www.gov.gr/ipiresies/periousia-kai-phorologia/ktematographese/apodeiktiko-upoboles-ktematologikes-deloses","Αποδεικτικό υποβολής κτηματολογικής δήλωσης")</f>
        <v>Αποδεικτικό υποβολής κτηματολογικής δήλωσης</v>
      </c>
      <c r="E981" t="s">
        <v>97</v>
      </c>
    </row>
    <row r="982" spans="1:5" x14ac:dyDescent="0.25">
      <c r="A982">
        <v>15824</v>
      </c>
      <c r="B982" t="s">
        <v>13</v>
      </c>
      <c r="C982" t="s">
        <v>96</v>
      </c>
      <c r="D982" t="str">
        <f>HYPERLINK("Https://www.gov.gr/ipiresies/periousia-kai-phorologia/ktematographese/apospasma-ktematologikou-diagrammatos","Απόσπασμα κτηματολογικού διαγράμματος")</f>
        <v>Απόσπασμα κτηματολογικού διαγράμματος</v>
      </c>
      <c r="E982" t="s">
        <v>97</v>
      </c>
    </row>
    <row r="983" spans="1:5" x14ac:dyDescent="0.25">
      <c r="A983">
        <v>15888</v>
      </c>
      <c r="B983" t="s">
        <v>13</v>
      </c>
      <c r="C983" t="s">
        <v>96</v>
      </c>
      <c r="D983" t="str">
        <f>HYPERLINK("Https://www.gov.gr/ipiresies/periousia-kai-phorologia/ktematographese/geopule-geokhorikon-dedomenon-inspire-ellenikou-ktematologiou","Γεωπύλη γεωχωρικών δεδομένων INSPIRE Ελληνικού Κτηματολογίου")</f>
        <v>Γεωπύλη γεωχωρικών δεδομένων INSPIRE Ελληνικού Κτηματολογίου</v>
      </c>
      <c r="E983" t="s">
        <v>97</v>
      </c>
    </row>
    <row r="984" spans="1:5" x14ac:dyDescent="0.25">
      <c r="A984">
        <v>15274</v>
      </c>
      <c r="B984" t="s">
        <v>13</v>
      </c>
      <c r="C984" t="s">
        <v>96</v>
      </c>
      <c r="D984" t="str">
        <f>HYPERLINK("Https://www.gov.gr/ipiresies/periousia-kai-phorologia/ktematographese/dasikoi-khartes","Δασικοί χάρτες")</f>
        <v>Δασικοί χάρτες</v>
      </c>
      <c r="E984" t="s">
        <v>97</v>
      </c>
    </row>
    <row r="985" spans="1:5" x14ac:dyDescent="0.25">
      <c r="A985">
        <v>15426</v>
      </c>
      <c r="B985" t="s">
        <v>13</v>
      </c>
      <c r="C985" t="s">
        <v>96</v>
      </c>
      <c r="D985" t="str">
        <f>HYPERLINK("Https://www.gov.gr/ipiresies/periousia-kai-phorologia/ktematographese/dianusmatiko-arkheio-ktematographikou-diagrammatos","Διανυσματικό αρχείο κτηματογραφικού διαγράμματος")</f>
        <v>Διανυσματικό αρχείο κτηματογραφικού διαγράμματος</v>
      </c>
      <c r="E985" t="s">
        <v>97</v>
      </c>
    </row>
    <row r="986" spans="1:5" x14ac:dyDescent="0.25">
      <c r="A986">
        <v>15421</v>
      </c>
      <c r="B986" t="s">
        <v>13</v>
      </c>
      <c r="C986" t="s">
        <v>96</v>
      </c>
      <c r="D986" t="str">
        <f>HYPERLINK("Https://www.gov.gr/ipiresies/periousia-kai-phorologia/ktematographese/entopismos-meso-kinetou","Εντοπισμός μέσω κινητού")</f>
        <v>Εντοπισμός μέσω κινητού</v>
      </c>
      <c r="E986" t="s">
        <v>97</v>
      </c>
    </row>
    <row r="987" spans="1:5" x14ac:dyDescent="0.25">
      <c r="A987">
        <v>15887</v>
      </c>
      <c r="B987" t="s">
        <v>13</v>
      </c>
      <c r="C987" t="s">
        <v>96</v>
      </c>
      <c r="D987" t="str">
        <f>HYPERLINK("Https://www.gov.gr/ipiresies/periousia-kai-phorologia/ktematographese/epikairopoiese-stoikheion-epikoinonias-me-to-ktematologio","Επικαιροποίηση στοιχείων επικοινωνίας με το κτηματολόγιο")</f>
        <v>Επικαιροποίηση στοιχείων επικοινωνίας με το κτηματολόγιο</v>
      </c>
      <c r="E987" t="s">
        <v>97</v>
      </c>
    </row>
    <row r="988" spans="1:5" x14ac:dyDescent="0.25">
      <c r="A988">
        <v>15349</v>
      </c>
      <c r="B988" t="s">
        <v>13</v>
      </c>
      <c r="C988" t="s">
        <v>96</v>
      </c>
      <c r="D988" t="str">
        <f>HYPERLINK("Https://www.gov.gr/ipiresies/periousia-kai-phorologia/ktematographese/eureterio-kai-khartes-kathorismenou-aigialou","Ευρετήριο και χάρτης καθορισμένου αιγιαλού")</f>
        <v>Ευρετήριο και χάρτης καθορισμένου αιγιαλού</v>
      </c>
      <c r="E988" t="s">
        <v>15</v>
      </c>
    </row>
    <row r="989" spans="1:5" x14ac:dyDescent="0.25">
      <c r="A989">
        <v>15422</v>
      </c>
      <c r="B989" t="s">
        <v>13</v>
      </c>
      <c r="C989" t="s">
        <v>96</v>
      </c>
      <c r="D989" t="str">
        <f>HYPERLINK("Https://www.gov.gr/ipiresies/periousia-kai-phorologia/ktematographese/elektronike-delose-ktematologiou","Ηλεκτρονική δήλωση Κτηματολογίου")</f>
        <v>Ηλεκτρονική δήλωση Κτηματολογίου</v>
      </c>
      <c r="E989" t="s">
        <v>97</v>
      </c>
    </row>
    <row r="990" spans="1:5" x14ac:dyDescent="0.25">
      <c r="A990">
        <v>15220</v>
      </c>
      <c r="B990" t="s">
        <v>13</v>
      </c>
      <c r="C990" t="s">
        <v>96</v>
      </c>
      <c r="D990" t="str">
        <f>HYPERLINK("Https://www.gov.gr/ipiresies/periousia-kai-phorologia/ktematographese/thease-orthophotographion","Θέαση ορθοφωτογραφιών")</f>
        <v>Θέαση ορθοφωτογραφιών</v>
      </c>
      <c r="E990" t="s">
        <v>97</v>
      </c>
    </row>
    <row r="991" spans="1:5" x14ac:dyDescent="0.25">
      <c r="A991">
        <v>15822</v>
      </c>
      <c r="B991" t="s">
        <v>13</v>
      </c>
      <c r="C991" t="s">
        <v>96</v>
      </c>
      <c r="D991" t="str">
        <f>HYPERLINK("Https://www.gov.gr/ipiresies/periousia-kai-phorologia/ktematographese/pistopoietiko-katakhorises-eggrapteas-praxes","Πιστοποιητικό καταχώρισης εγγραπτέας πράξης")</f>
        <v>Πιστοποιητικό καταχώρισης εγγραπτέας πράξης</v>
      </c>
      <c r="E991" t="s">
        <v>97</v>
      </c>
    </row>
    <row r="992" spans="1:5" x14ac:dyDescent="0.25">
      <c r="A992">
        <v>15423</v>
      </c>
      <c r="B992" t="s">
        <v>13</v>
      </c>
      <c r="C992" t="s">
        <v>96</v>
      </c>
      <c r="D992" t="str">
        <f>HYPERLINK("Https://www.gov.gr/ipiresies/periousia-kai-phorologia/ktematographese/proanartese-ktematologikon-stoikheion","Προανάρτηση κτηματολογικών στοιχείων")</f>
        <v>Προανάρτηση κτηματολογικών στοιχείων</v>
      </c>
      <c r="E992" t="s">
        <v>97</v>
      </c>
    </row>
    <row r="993" spans="1:5" x14ac:dyDescent="0.25">
      <c r="A993">
        <v>15517</v>
      </c>
      <c r="B993" t="s">
        <v>13</v>
      </c>
      <c r="C993" t="s">
        <v>96</v>
      </c>
      <c r="D993" t="str">
        <f>HYPERLINK("Https://www.gov.gr/ipiresies/periousia-kai-phorologia/ktematographese/semeia-elegkhou-ethnikou-ktematologiou","Σημεία ελέγχου εθνικού Κτηματολογίου")</f>
        <v>Σημεία ελέγχου εθνικού Κτηματολογίου</v>
      </c>
      <c r="E993" t="s">
        <v>97</v>
      </c>
    </row>
    <row r="994" spans="1:5" x14ac:dyDescent="0.25">
      <c r="A994">
        <v>15424</v>
      </c>
      <c r="B994" t="s">
        <v>13</v>
      </c>
      <c r="C994" t="s">
        <v>96</v>
      </c>
      <c r="D994" t="str">
        <f>HYPERLINK("Https://www.gov.gr/ipiresies/periousia-kai-phorologia/ktematographese/sunedriaseis-epitropon-enstaseon-ktematologiou","Συνεδριάσεις επιτροπών ενστάσεων Κτηματολογίου")</f>
        <v>Συνεδριάσεις επιτροπών ενστάσεων Κτηματολογίου</v>
      </c>
      <c r="E994" t="s">
        <v>97</v>
      </c>
    </row>
    <row r="995" spans="1:5" x14ac:dyDescent="0.25">
      <c r="A995">
        <v>15425</v>
      </c>
      <c r="B995" t="s">
        <v>13</v>
      </c>
      <c r="C995" t="s">
        <v>96</v>
      </c>
      <c r="D995" t="str">
        <f>HYPERLINK("Https://www.gov.gr/ipiresies/periousia-kai-phorologia/ktematographese/telika-stoikheia-ktematographeses-arkhikes-eggraphes","Τελικά στοιχεία κτηματογράφησης / αρχικές εγγραφές")</f>
        <v>Τελικά στοιχεία κτηματογράφησης / αρχικές εγγραφές</v>
      </c>
      <c r="E995" t="s">
        <v>97</v>
      </c>
    </row>
    <row r="996" spans="1:5" x14ac:dyDescent="0.25">
      <c r="A996">
        <v>16435</v>
      </c>
      <c r="B996" t="s">
        <v>13</v>
      </c>
      <c r="C996" t="s">
        <v>96</v>
      </c>
      <c r="D996" t="str">
        <f>HYPERLINK("Https://www.gov.gr/ipiresies/periousia-kai-phorologia/ktematographese/to-ktematologio-mou","Το κτηματολόγιο μου")</f>
        <v>Το κτηματολόγιο μου</v>
      </c>
      <c r="E996" t="s">
        <v>97</v>
      </c>
    </row>
    <row r="997" spans="1:5" x14ac:dyDescent="0.25">
      <c r="A997">
        <v>16434</v>
      </c>
      <c r="B997" t="s">
        <v>13</v>
      </c>
      <c r="C997" t="s">
        <v>96</v>
      </c>
      <c r="D997" t="str">
        <f>HYPERLINK("Https://www.gov.gr/ipiresies/periousia-kai-phorologia/ktematographese/uperesia-epibebaioses-pistopoitikon-ktematologiou-se-leitourgia","Υπηρεσία επιβεβαίωσης πιστοποιητικών κτηματολογίου σε λειτουργία")</f>
        <v>Υπηρεσία επιβεβαίωσης πιστοποιητικών κτηματολογίου σε λειτουργία</v>
      </c>
      <c r="E997" t="s">
        <v>97</v>
      </c>
    </row>
    <row r="998" spans="1:5" x14ac:dyDescent="0.25">
      <c r="A998">
        <v>16375</v>
      </c>
      <c r="B998" t="s">
        <v>13</v>
      </c>
      <c r="C998" t="s">
        <v>96</v>
      </c>
      <c r="D998" t="str">
        <f>HYPERLINK("Https://www.gov.gr/ipiresies/periousia-kai-phorologia/ktematographese/uperesies-ktematologiou-gia-dikastikous-epimeletes","Υπηρεσίες κτηματολογίου για δικαστικούς επιμελητές")</f>
        <v>Υπηρεσίες κτηματολογίου για δικαστικούς επιμελητές</v>
      </c>
      <c r="E998" t="s">
        <v>97</v>
      </c>
    </row>
    <row r="999" spans="1:5" x14ac:dyDescent="0.25">
      <c r="A999">
        <v>15885</v>
      </c>
      <c r="B999" t="s">
        <v>13</v>
      </c>
      <c r="C999" t="s">
        <v>96</v>
      </c>
      <c r="D999" t="str">
        <f>HYPERLINK("Https://www.gov.gr/ipiresies/periousia-kai-phorologia/ktematographese/uperesies-ktematologiou-gia-dikegorous","Υπηρεσίες κτηματολογίου για δικηγόρους")</f>
        <v>Υπηρεσίες κτηματολογίου για δικηγόρους</v>
      </c>
      <c r="E999" t="s">
        <v>97</v>
      </c>
    </row>
    <row r="1000" spans="1:5" x14ac:dyDescent="0.25">
      <c r="A1000">
        <v>15886</v>
      </c>
      <c r="B1000" t="s">
        <v>13</v>
      </c>
      <c r="C1000" t="s">
        <v>96</v>
      </c>
      <c r="D1000" t="str">
        <f>HYPERLINK("Https://www.gov.gr/ipiresies/periousia-kai-phorologia/ktematographese/uperesies-ktematologiou-gia-mekhanikous","Υπηρεσίες κτηματολογίου για μηχανικούς")</f>
        <v>Υπηρεσίες κτηματολογίου για μηχανικούς</v>
      </c>
      <c r="E1000" t="s">
        <v>97</v>
      </c>
    </row>
    <row r="1001" spans="1:5" x14ac:dyDescent="0.25">
      <c r="A1001">
        <v>15884</v>
      </c>
      <c r="B1001" t="s">
        <v>13</v>
      </c>
      <c r="C1001" t="s">
        <v>96</v>
      </c>
      <c r="D1001" t="str">
        <f>HYPERLINK("Https://www.gov.gr/ipiresies/periousia-kai-phorologia/ktematographese/uperesies-ktematologiou-gia-sumbolaiographous","Υπηρεσίες κτηματολογίου για συμβολαιογράφους")</f>
        <v>Υπηρεσίες κτηματολογίου για συμβολαιογράφους</v>
      </c>
      <c r="E1001" t="s">
        <v>97</v>
      </c>
    </row>
    <row r="1002" spans="1:5" x14ac:dyDescent="0.25">
      <c r="A1002">
        <v>15427</v>
      </c>
      <c r="B1002" t="s">
        <v>13</v>
      </c>
      <c r="C1002" t="s">
        <v>96</v>
      </c>
      <c r="D1002" t="str">
        <f>HYPERLINK("Https://www.gov.gr/ipiresies/periousia-kai-phorologia/ktematographese/upologismos-ktematologikon-telon-kai-dikaiomaton","Υπολογισμός κτηματολογικών τελών και δικαιωμάτων")</f>
        <v>Υπολογισμός κτηματολογικών τελών και δικαιωμάτων</v>
      </c>
      <c r="E1002" t="s">
        <v>97</v>
      </c>
    </row>
    <row r="1003" spans="1:5" x14ac:dyDescent="0.25">
      <c r="A1003">
        <v>15227</v>
      </c>
      <c r="B1003" t="s">
        <v>13</v>
      </c>
      <c r="C1003" t="s">
        <v>105</v>
      </c>
      <c r="D1003" t="str">
        <f>HYPERLINK("Https://www.gov.gr/ipiresies/periousia-kai-phorologia/okhemata/analutike-katastase-okhematon","Αναλυτική κατάσταση οχημάτων")</f>
        <v>Αναλυτική κατάσταση οχημάτων</v>
      </c>
      <c r="E1003" t="s">
        <v>59</v>
      </c>
    </row>
    <row r="1004" spans="1:5" x14ac:dyDescent="0.25">
      <c r="A1004">
        <v>16656</v>
      </c>
      <c r="B1004" t="s">
        <v>13</v>
      </c>
      <c r="C1004" t="s">
        <v>105</v>
      </c>
      <c r="D1004" t="str">
        <f>HYPERLINK("Https://www.gov.gr/ipiresies/periousia-kai-phorologia/okhemata/ananeose-adeias-kuklophorias-motopodelatou","Ανανέωση άδειας κυκλοφορίας μοτοποδηλάτου")</f>
        <v>Ανανέωση άδειας κυκλοφορίας μοτοποδηλάτου</v>
      </c>
      <c r="E1004" t="s">
        <v>29</v>
      </c>
    </row>
    <row r="1005" spans="1:5" x14ac:dyDescent="0.25">
      <c r="A1005">
        <v>15229</v>
      </c>
      <c r="B1005" t="s">
        <v>13</v>
      </c>
      <c r="C1005" t="s">
        <v>105</v>
      </c>
      <c r="D1005" t="str">
        <f>HYPERLINK("Https://www.gov.gr/ipiresies/periousia-kai-phorologia/okhemata/anasphalista-okhemata","Ανασφάλιστα οχήματα")</f>
        <v>Ανασφάλιστα οχήματα</v>
      </c>
      <c r="E1005" t="s">
        <v>59</v>
      </c>
    </row>
    <row r="1006" spans="1:5" x14ac:dyDescent="0.25">
      <c r="A1006">
        <v>16203</v>
      </c>
      <c r="B1006" t="s">
        <v>13</v>
      </c>
      <c r="C1006" t="s">
        <v>105</v>
      </c>
      <c r="D1006" t="str">
        <f>HYPERLINK("Https://www.gov.gr/ipiresies/periousia-kai-phorologia/okhemata/arse-akinesias-okhematos-idiotikes-khreses-ikh","Άρση ακινησίας οχήματος ιδιωτικής χρήσης (ΙΧ)")</f>
        <v>Άρση ακινησίας οχήματος ιδιωτικής χρήσης (ΙΧ)</v>
      </c>
      <c r="E1006" t="s">
        <v>59</v>
      </c>
    </row>
    <row r="1007" spans="1:5" x14ac:dyDescent="0.25">
      <c r="A1007">
        <v>16179</v>
      </c>
      <c r="B1007" t="s">
        <v>13</v>
      </c>
      <c r="C1007" t="s">
        <v>105</v>
      </c>
      <c r="D1007" t="str">
        <f>HYPERLINK("Https://www.gov.gr/ipiresies/periousia-kai-phorologia/okhemata/arse-akinesias-phortegon-kai-leophoreion-idiotikes-khreses-ikh","Άρση ακινησίας φορτηγών και λεωφορείων ιδιωτικής χρήσης (ΙΧ)")</f>
        <v>Άρση ακινησίας φορτηγών και λεωφορείων ιδιωτικής χρήσης (ΙΧ)</v>
      </c>
      <c r="E1007" t="s">
        <v>34</v>
      </c>
    </row>
    <row r="1008" spans="1:5" x14ac:dyDescent="0.25">
      <c r="A1008">
        <v>15588</v>
      </c>
      <c r="B1008" t="s">
        <v>13</v>
      </c>
      <c r="C1008" t="s">
        <v>105</v>
      </c>
      <c r="D1008" t="str">
        <f>HYPERLINK("Https://www.gov.gr/ipiresies/periousia-kai-phorologia/okhemata/bebaiose-me-opheiles-telon-kuklophorias","Βεβαίωση μη οφειλής τελών κυκλοφορίας")</f>
        <v>Βεβαίωση μη οφειλής τελών κυκλοφορίας</v>
      </c>
      <c r="E1008" t="s">
        <v>59</v>
      </c>
    </row>
    <row r="1009" spans="1:5" x14ac:dyDescent="0.25">
      <c r="A1009">
        <v>15368</v>
      </c>
      <c r="B1009" t="s">
        <v>13</v>
      </c>
      <c r="C1009" t="s">
        <v>105</v>
      </c>
      <c r="D1009" t="str">
        <f>HYPERLINK("Https://www.gov.gr/ipiresies/periousia-kai-phorologia/okhemata/deloseis-klopes-aneureses-klapenton-okhematon","Δηλώσεις κλοπής / ανεύρεσης κλαπέντων οχημάτων")</f>
        <v>Δηλώσεις κλοπής / ανεύρεσης κλαπέντων οχημάτων</v>
      </c>
      <c r="E1009" t="s">
        <v>29</v>
      </c>
    </row>
    <row r="1010" spans="1:5" x14ac:dyDescent="0.25">
      <c r="A1010">
        <v>16202</v>
      </c>
      <c r="B1010" t="s">
        <v>13</v>
      </c>
      <c r="C1010" t="s">
        <v>105</v>
      </c>
      <c r="D1010" t="str">
        <f>HYPERLINK("Https://www.gov.gr/ipiresies/periousia-kai-phorologia/okhemata/delose-akinesias-okhematos-idiotikes-khreses-ikh","Δήλωση ακινησίας οχήματος ιδιωτικής χρήσης (ΙΧ)")</f>
        <v>Δήλωση ακινησίας οχήματος ιδιωτικής χρήσης (ΙΧ)</v>
      </c>
      <c r="E1010" t="s">
        <v>59</v>
      </c>
    </row>
    <row r="1011" spans="1:5" x14ac:dyDescent="0.25">
      <c r="A1011">
        <v>16149</v>
      </c>
      <c r="B1011" t="s">
        <v>13</v>
      </c>
      <c r="C1011" t="s">
        <v>105</v>
      </c>
      <c r="D1011" t="str">
        <f>HYPERLINK("Https://www.gov.gr/ipiresies/periousia-kai-phorologia/okhemata/katakhorise-deloses-klopes-epibatikou-dikuklou-ikh-okhematos-nomikou-prosopou","Καταχώριση δήλωσης κλοπής επιβατικού / δικύκλου ΙΧ οχήματος νομικού προσώπου")</f>
        <v>Καταχώριση δήλωσης κλοπής επιβατικού / δικύκλου ΙΧ οχήματος νομικού προσώπου</v>
      </c>
      <c r="E1011" t="s">
        <v>31</v>
      </c>
    </row>
    <row r="1012" spans="1:5" x14ac:dyDescent="0.25">
      <c r="A1012">
        <v>16148</v>
      </c>
      <c r="B1012" t="s">
        <v>13</v>
      </c>
      <c r="C1012" t="s">
        <v>105</v>
      </c>
      <c r="D1012" t="str">
        <f>HYPERLINK("Https://www.gov.gr/ipiresies/periousia-kai-phorologia/okhemata/katakhorise-deloses-klopes-epibatikou-dikuklou-ikh-okhematos-phusikou-prosopou","Καταχώριση δήλωσης κλοπής επιβατικού / δικύκλου ΙΧ οχήματος φυσικού προσώπου")</f>
        <v>Καταχώριση δήλωσης κλοπής επιβατικού / δικύκλου ΙΧ οχήματος φυσικού προσώπου</v>
      </c>
      <c r="E1012" t="s">
        <v>31</v>
      </c>
    </row>
    <row r="1013" spans="1:5" x14ac:dyDescent="0.25">
      <c r="A1013">
        <v>16183</v>
      </c>
      <c r="B1013" t="s">
        <v>13</v>
      </c>
      <c r="C1013" t="s">
        <v>105</v>
      </c>
      <c r="D1013" t="str">
        <f>HYPERLINK("Https://www.gov.gr/ipiresies/periousia-kai-phorologia/okhemata/katokhe-okhematos","Κατοχή οχήματος")</f>
        <v>Κατοχή οχήματος</v>
      </c>
      <c r="E1013" t="s">
        <v>34</v>
      </c>
    </row>
    <row r="1014" spans="1:5" x14ac:dyDescent="0.25">
      <c r="A1014">
        <v>16151</v>
      </c>
      <c r="B1014" t="s">
        <v>13</v>
      </c>
      <c r="C1014" t="s">
        <v>105</v>
      </c>
      <c r="D1014" t="str">
        <f>HYPERLINK("Https://www.gov.gr/ipiresies/periousia-kai-phorologia/okhemata/oristike-diagraphe-epibatikou-dikuklou-ikh-okhematos-logo-epanataxinomeses-se-khora-tes-ee","Οριστική διαγραφή επιβατικού / δίκυκλου ΙΧ οχήματος λόγω επαναταξινόμησης σε χώρα της ΕΕ")</f>
        <v>Οριστική διαγραφή επιβατικού / δίκυκλου ΙΧ οχήματος λόγω επαναταξινόμησης σε χώρα της ΕΕ</v>
      </c>
      <c r="E1014" t="s">
        <v>31</v>
      </c>
    </row>
    <row r="1015" spans="1:5" x14ac:dyDescent="0.25">
      <c r="A1015">
        <v>16152</v>
      </c>
      <c r="B1015" t="s">
        <v>13</v>
      </c>
      <c r="C1015" t="s">
        <v>105</v>
      </c>
      <c r="D1015" t="str">
        <f>HYPERLINK("Https://www.gov.gr/ipiresies/periousia-kai-phorologia/okhemata/oristike-diagraphe-epibatikou-dikuklou-ikh-okhematos-nomikou-prosopou","Οριστική διαγραφή επιβατικού / δίκυκλου ΙΧ οχήματος νομικού προσώπου")</f>
        <v>Οριστική διαγραφή επιβατικού / δίκυκλου ΙΧ οχήματος νομικού προσώπου</v>
      </c>
      <c r="E1015" t="s">
        <v>31</v>
      </c>
    </row>
    <row r="1016" spans="1:5" x14ac:dyDescent="0.25">
      <c r="A1016">
        <v>16150</v>
      </c>
      <c r="B1016" t="s">
        <v>13</v>
      </c>
      <c r="C1016" t="s">
        <v>105</v>
      </c>
      <c r="D1016" t="str">
        <f>HYPERLINK("Https://www.gov.gr/ipiresies/periousia-kai-phorologia/okhemata/oristike-diagraphe-epibatikou-dikuklou-ikh-okhematos-phusikou-prosopou","Οριστική διαγραφή επιβατικού / δικύκλου ΙΧ οχήματος φυσικού προσώπου")</f>
        <v>Οριστική διαγραφή επιβατικού / δικύκλου ΙΧ οχήματος φυσικού προσώπου</v>
      </c>
      <c r="E1016" t="s">
        <v>31</v>
      </c>
    </row>
    <row r="1017" spans="1:5" x14ac:dyDescent="0.25">
      <c r="A1017">
        <v>15378</v>
      </c>
      <c r="B1017" t="s">
        <v>13</v>
      </c>
      <c r="C1017" t="s">
        <v>105</v>
      </c>
      <c r="D1017" t="str">
        <f>HYPERLINK("Https://www.gov.gr/ipiresies/periousia-kai-phorologia/okhemata/adeia-kuklophorias-motopodelatou","Πρώτη άδεια κυκλοφορίας μοτοποδηλάτου")</f>
        <v>Πρώτη άδεια κυκλοφορίας μοτοποδηλάτου</v>
      </c>
      <c r="E1017" t="s">
        <v>29</v>
      </c>
    </row>
    <row r="1018" spans="1:5" x14ac:dyDescent="0.25">
      <c r="A1018">
        <v>15508</v>
      </c>
      <c r="B1018" t="s">
        <v>13</v>
      </c>
      <c r="C1018" t="s">
        <v>105</v>
      </c>
      <c r="D1018" t="str">
        <f>HYPERLINK("Https://www.gov.gr/ipiresies/periousia-kai-phorologia/okhemata/tele-kuklophorias","Τέλη κυκλοφορίας")</f>
        <v>Τέλη κυκλοφορίας</v>
      </c>
      <c r="E1018" t="s">
        <v>59</v>
      </c>
    </row>
    <row r="1019" spans="1:5" x14ac:dyDescent="0.25">
      <c r="A1019">
        <v>15509</v>
      </c>
      <c r="B1019" t="s">
        <v>13</v>
      </c>
      <c r="C1019" t="s">
        <v>105</v>
      </c>
      <c r="D1019" t="str">
        <f>HYPERLINK("Https://www.gov.gr/ipiresies/periousia-kai-phorologia/okhemata/tele-kuklophorias-apo-to-2013-eos-semera","Τέλη κυκλοφορίας από το 2013 έως σήμερα")</f>
        <v>Τέλη κυκλοφορίας από το 2013 έως σήμερα</v>
      </c>
      <c r="E1019" t="s">
        <v>59</v>
      </c>
    </row>
    <row r="1020" spans="1:5" x14ac:dyDescent="0.25">
      <c r="A1020">
        <v>16803</v>
      </c>
      <c r="B1020" t="s">
        <v>13</v>
      </c>
      <c r="C1020" t="s">
        <v>105</v>
      </c>
      <c r="D1020" t="str">
        <f>HYPERLINK("Https://www.gov.gr/ipiresies/periousia-kai-phorologia/okhemata/myauto","Το όχημά μου (MyAuto)")</f>
        <v>Το όχημά μου (MyAuto)</v>
      </c>
      <c r="E1020" t="s">
        <v>26</v>
      </c>
    </row>
    <row r="1021" spans="1:5" x14ac:dyDescent="0.25">
      <c r="A1021">
        <v>15539</v>
      </c>
      <c r="B1021" t="s">
        <v>13</v>
      </c>
      <c r="C1021" t="s">
        <v>151</v>
      </c>
      <c r="D1021" t="str">
        <f>HYPERLINK("Https://www.gov.gr/ipiresies/periousia-kai-phorologia/pothen-eskhes-kai-periousiologio/delose-pothen-eskhes-periousiakes-katastases","Δήλωση «Πόθεν έσχες» (Περιουσιακής κατάστασης)")</f>
        <v>Δήλωση «Πόθεν έσχες» (Περιουσιακής κατάστασης)</v>
      </c>
      <c r="E1021" t="s">
        <v>152</v>
      </c>
    </row>
    <row r="1022" spans="1:5" x14ac:dyDescent="0.25">
      <c r="A1022">
        <v>15638</v>
      </c>
      <c r="B1022" t="s">
        <v>13</v>
      </c>
      <c r="C1022" t="s">
        <v>151</v>
      </c>
      <c r="D1022" t="str">
        <f>HYPERLINK("Https://www.gov.gr/ipiresies/periousia-kai-phorologia/pothen-eskhes-kai-periousiologio/kataggelia-skhetika-me-ten-periousiake-katastase","Καταγγελία σχετικά με την περιουσιακή κατάσταση")</f>
        <v>Καταγγελία σχετικά με την περιουσιακή κατάσταση</v>
      </c>
      <c r="E1022" t="s">
        <v>152</v>
      </c>
    </row>
    <row r="1023" spans="1:5" x14ac:dyDescent="0.25">
      <c r="A1023">
        <v>15187</v>
      </c>
      <c r="B1023" t="s">
        <v>13</v>
      </c>
      <c r="C1023" t="s">
        <v>154</v>
      </c>
      <c r="D1023" t="str">
        <f>HYPERLINK("Https://www.gov.gr/ipiresies/periousia-kai-phorologia/teloneiakes-uperesies/delotika-ics-ens","Δηλωτικά (ICS-ENS)")</f>
        <v>Δηλωτικά (ICS-ENS)</v>
      </c>
      <c r="E1023" t="s">
        <v>59</v>
      </c>
    </row>
    <row r="1024" spans="1:5" x14ac:dyDescent="0.25">
      <c r="A1024">
        <v>15193</v>
      </c>
      <c r="B1024" t="s">
        <v>13</v>
      </c>
      <c r="C1024" t="s">
        <v>154</v>
      </c>
      <c r="D1024" t="str">
        <f>HYPERLINK("Https://www.gov.gr/ipiresies/periousia-kai-phorologia/teloneiakes-uperesies/diakheirise-dasmologiou-taric","Διαχείριση δασμολογίου (TARIC)")</f>
        <v>Διαχείριση δασμολογίου (TARIC)</v>
      </c>
      <c r="E1024" t="s">
        <v>59</v>
      </c>
    </row>
    <row r="1025" spans="1:5" x14ac:dyDescent="0.25">
      <c r="A1025">
        <v>15381</v>
      </c>
      <c r="B1025" t="s">
        <v>13</v>
      </c>
      <c r="C1025" t="s">
        <v>154</v>
      </c>
      <c r="D1025" t="str">
        <f>HYPERLINK("Https://www.gov.gr/ipiresies/periousia-kai-phorologia/teloneiakes-uperesies/diakheirise-teloneiakon-eggueseon","Διαχείριση τελωνειακών εγγυήσεων")</f>
        <v>Διαχείριση τελωνειακών εγγυήσεων</v>
      </c>
      <c r="E1025" t="s">
        <v>59</v>
      </c>
    </row>
    <row r="1026" spans="1:5" x14ac:dyDescent="0.25">
      <c r="A1026">
        <v>15198</v>
      </c>
      <c r="B1026" t="s">
        <v>13</v>
      </c>
      <c r="C1026" t="s">
        <v>154</v>
      </c>
      <c r="D1026" t="str">
        <f>HYPERLINK("Https://www.gov.gr/ipiresies/periousia-kai-phorologia/teloneiakes-uperesies/egkekrimenoi-oikonomikoi-phoreis-authorised-economic-operators-aeo","Εγκεκριμένοι οικονομικοί φορείς (Authorised Economic Operators-ΑΕΟ)")</f>
        <v>Εγκεκριμένοι οικονομικοί φορείς (Authorised Economic Operators-ΑΕΟ)</v>
      </c>
      <c r="E1026" t="s">
        <v>59</v>
      </c>
    </row>
    <row r="1027" spans="1:5" x14ac:dyDescent="0.25">
      <c r="A1027">
        <v>15315</v>
      </c>
      <c r="B1027" t="s">
        <v>13</v>
      </c>
      <c r="C1027" t="s">
        <v>154</v>
      </c>
      <c r="D1027" t="str">
        <f>HYPERLINK("Https://www.gov.gr/ipiresies/periousia-kai-phorologia/teloneiakes-uperesies/eidikoi-phoroi-katanaloses-epistrophes","Ειδικοί Φόροι Κατανάλωσης / επιστροφές")</f>
        <v>Ειδικοί Φόροι Κατανάλωσης / επιστροφές</v>
      </c>
      <c r="E1027" t="s">
        <v>59</v>
      </c>
    </row>
    <row r="1028" spans="1:5" x14ac:dyDescent="0.25">
      <c r="A1028">
        <v>15165</v>
      </c>
      <c r="B1028" t="s">
        <v>13</v>
      </c>
      <c r="C1028" t="s">
        <v>154</v>
      </c>
      <c r="D1028" t="str">
        <f>HYPERLINK("Https://www.gov.gr/ipiresies/periousia-kai-phorologia/teloneiakes-uperesies/ekdose-teloneiakes-adeias","Έκδοση τελωνειακής άδειας")</f>
        <v>Έκδοση τελωνειακής άδειας</v>
      </c>
      <c r="E1028" t="s">
        <v>59</v>
      </c>
    </row>
    <row r="1029" spans="1:5" x14ac:dyDescent="0.25">
      <c r="A1029">
        <v>15168</v>
      </c>
      <c r="B1029" t="s">
        <v>13</v>
      </c>
      <c r="C1029" t="s">
        <v>154</v>
      </c>
      <c r="D1029" t="str">
        <f>HYPERLINK("Https://www.gov.gr/ipiresies/periousia-kai-phorologia/teloneiakes-uperesies/exousiodoteseis-mono-gia-teloneiakes-apophaseis-cds-uum-ds","Εξουσιοδοτήσεις μόνο για τελωνειακές αποφάσεις (CDS / UUM&amp;DS)")</f>
        <v>Εξουσιοδοτήσεις μόνο για τελωνειακές αποφάσεις (CDS / UUM&amp;DS)</v>
      </c>
      <c r="E1029" t="s">
        <v>59</v>
      </c>
    </row>
    <row r="1030" spans="1:5" x14ac:dyDescent="0.25">
      <c r="A1030">
        <v>15347</v>
      </c>
      <c r="B1030" t="s">
        <v>13</v>
      </c>
      <c r="C1030" t="s">
        <v>154</v>
      </c>
      <c r="D1030" t="str">
        <f>HYPERLINK("Https://www.gov.gr/ipiresies/periousia-kai-phorologia/teloneiakes-uperesies/epikurose-teloneiakou-eggraphou","Επικύρωση τελωνειακού εγγράφου")</f>
        <v>Επικύρωση τελωνειακού εγγράφου</v>
      </c>
      <c r="E1030" t="s">
        <v>59</v>
      </c>
    </row>
    <row r="1031" spans="1:5" x14ac:dyDescent="0.25">
      <c r="A1031">
        <v>15503</v>
      </c>
      <c r="B1031" t="s">
        <v>13</v>
      </c>
      <c r="C1031" t="s">
        <v>154</v>
      </c>
      <c r="D1031" t="str">
        <f>HYPERLINK("Https://www.gov.gr/ipiresies/periousia-kai-phorologia/teloneiakes-uperesies/ikhnelasimoteta-kapnikon-proionton-id-issuer","Ιχνηλασιμότητα καπνικών προϊόντων (ID issuer)")</f>
        <v>Ιχνηλασιμότητα καπνικών προϊόντων (ID issuer)</v>
      </c>
      <c r="E1031" t="s">
        <v>26</v>
      </c>
    </row>
    <row r="1032" spans="1:5" x14ac:dyDescent="0.25">
      <c r="A1032">
        <v>15176</v>
      </c>
      <c r="B1032" t="s">
        <v>13</v>
      </c>
      <c r="C1032" t="s">
        <v>154</v>
      </c>
      <c r="D1032" t="str">
        <f>HYPERLINK("Https://www.gov.gr/ipiresies/periousia-kai-phorologia/teloneiakes-uperesies/pistopoiese-me-eori","Πιστοποίηση με EORI")</f>
        <v>Πιστοποίηση με EORI</v>
      </c>
      <c r="E1032" t="s">
        <v>59</v>
      </c>
    </row>
    <row r="1033" spans="1:5" x14ac:dyDescent="0.25">
      <c r="A1033">
        <v>15512</v>
      </c>
      <c r="B1033" t="s">
        <v>13</v>
      </c>
      <c r="C1033" t="s">
        <v>154</v>
      </c>
      <c r="D1033" t="str">
        <f>HYPERLINK("Https://www.gov.gr/ipiresies/periousia-kai-phorologia/teloneiakes-uperesies/sustema-eisagogon-imports","Σύστημα εισαγωγών (IMPORTS)")</f>
        <v>Σύστημα εισαγωγών (IMPORTS)</v>
      </c>
      <c r="E1033" t="s">
        <v>59</v>
      </c>
    </row>
    <row r="1034" spans="1:5" x14ac:dyDescent="0.25">
      <c r="A1034">
        <v>15174</v>
      </c>
      <c r="B1034" t="s">
        <v>13</v>
      </c>
      <c r="C1034" t="s">
        <v>154</v>
      </c>
      <c r="D1034" t="str">
        <f>HYPERLINK("Https://www.gov.gr/ipiresies/periousia-kai-phorologia/teloneiakes-uperesies/sustema-elegkhou-exagogon-ecs","Σύστημα ελέγχου εξαγωγών (ECS)")</f>
        <v>Σύστημα ελέγχου εξαγωγών (ECS)</v>
      </c>
      <c r="E1034" t="s">
        <v>59</v>
      </c>
    </row>
    <row r="1035" spans="1:5" x14ac:dyDescent="0.25">
      <c r="A1035">
        <v>15167</v>
      </c>
      <c r="B1035" t="s">
        <v>13</v>
      </c>
      <c r="C1035" t="s">
        <v>154</v>
      </c>
      <c r="D1035" t="str">
        <f>HYPERLINK("Https://www.gov.gr/ipiresies/periousia-kai-phorologia/teloneiakes-uperesies/sustema-teloneiakon-apophaseon-cds","Σύστημα τελωνειακών αποφάσεων (CDS)")</f>
        <v>Σύστημα τελωνειακών αποφάσεων (CDS)</v>
      </c>
      <c r="E1035" t="s">
        <v>59</v>
      </c>
    </row>
    <row r="1036" spans="1:5" x14ac:dyDescent="0.25">
      <c r="A1036">
        <v>15166</v>
      </c>
      <c r="B1036" t="s">
        <v>13</v>
      </c>
      <c r="C1036" t="s">
        <v>154</v>
      </c>
      <c r="D1036" t="str">
        <f>HYPERLINK("Https://www.gov.gr/ipiresies/periousia-kai-phorologia/teloneiakes-uperesies/teloneiakes-exousiodoteseis","Τελωνειακές εξουσιοδοτήσεις")</f>
        <v>Τελωνειακές εξουσιοδοτήσεις</v>
      </c>
      <c r="E1036" t="s">
        <v>59</v>
      </c>
    </row>
    <row r="1037" spans="1:5" x14ac:dyDescent="0.25">
      <c r="A1037">
        <v>15541</v>
      </c>
      <c r="B1037" t="s">
        <v>13</v>
      </c>
      <c r="C1037" t="s">
        <v>154</v>
      </c>
      <c r="D1037" t="str">
        <f>HYPERLINK("Https://www.gov.gr/ipiresies/periousia-kai-phorologia/teloneiakes-uperesies/upobole-timokatalogou-autokineton","Υποβολή τιμοκαταλόγου αυτοκινήτων")</f>
        <v>Υποβολή τιμοκαταλόγου αυτοκινήτων</v>
      </c>
      <c r="E1037" t="s">
        <v>59</v>
      </c>
    </row>
    <row r="1038" spans="1:5" x14ac:dyDescent="0.25">
      <c r="A1038">
        <v>15215</v>
      </c>
      <c r="B1038" t="s">
        <v>13</v>
      </c>
      <c r="C1038" t="s">
        <v>80</v>
      </c>
      <c r="D1038" t="str">
        <f>HYPERLINK("Https://www.gov.gr/ipiresies/periousia-kai-phorologia/phorologia-politon/akataskhetos-logariasmos","Ακατάσχετος λογαριασμός")</f>
        <v>Ακατάσχετος λογαριασμός</v>
      </c>
      <c r="E1038" t="s">
        <v>59</v>
      </c>
    </row>
    <row r="1039" spans="1:5" x14ac:dyDescent="0.25">
      <c r="A1039">
        <v>15217</v>
      </c>
      <c r="B1039" t="s">
        <v>13</v>
      </c>
      <c r="C1039" t="s">
        <v>80</v>
      </c>
      <c r="D1039" t="str">
        <f>HYPERLINK("Https://www.gov.gr/ipiresies/periousia-kai-phorologia/phorologia-politon/allage-stoikheion-metroou-phorologoumenon","Αλλαγή στοιχείων μητρώου φορολογούμενων")</f>
        <v>Αλλαγή στοιχείων μητρώου φορολογούμενων</v>
      </c>
      <c r="E1039" t="s">
        <v>59</v>
      </c>
    </row>
    <row r="1040" spans="1:5" x14ac:dyDescent="0.25">
      <c r="A1040">
        <v>15492</v>
      </c>
      <c r="B1040" t="s">
        <v>13</v>
      </c>
      <c r="C1040" t="s">
        <v>80</v>
      </c>
      <c r="D1040" t="str">
        <f>HYPERLINK("Https://www.gov.gr/ipiresies/periousia-kai-phorologia/phorologia-politon/anazetese-logiston","Αναζήτηση λογιστών")</f>
        <v>Αναζήτηση λογιστών</v>
      </c>
      <c r="E1040" t="s">
        <v>59</v>
      </c>
    </row>
    <row r="1041" spans="1:5" x14ac:dyDescent="0.25">
      <c r="A1041">
        <v>15321</v>
      </c>
      <c r="B1041" t="s">
        <v>13</v>
      </c>
      <c r="C1041" t="s">
        <v>80</v>
      </c>
      <c r="D1041" t="str">
        <f>HYPERLINK("Https://www.gov.gr/ipiresies/periousia-kai-phorologia/phorologia-politon/apodeiktiko-phorologikes-enemerotetas","Αποδεικτικό φορολογικής ενημερότητας")</f>
        <v>Αποδεικτικό φορολογικής ενημερότητας</v>
      </c>
      <c r="E1041" t="s">
        <v>59</v>
      </c>
    </row>
    <row r="1042" spans="1:5" x14ac:dyDescent="0.25">
      <c r="A1042">
        <v>15258</v>
      </c>
      <c r="B1042" t="s">
        <v>13</v>
      </c>
      <c r="C1042" t="s">
        <v>80</v>
      </c>
      <c r="D1042" t="str">
        <f>HYPERLINK("Https://www.gov.gr/ipiresies/periousia-kai-phorologia/phorologia-politon/bebaiose-apodesmeuses","Βεβαίωση αποδέσμευσης")</f>
        <v>Βεβαίωση αποδέσμευσης</v>
      </c>
      <c r="E1042" t="s">
        <v>59</v>
      </c>
    </row>
    <row r="1043" spans="1:5" x14ac:dyDescent="0.25">
      <c r="A1043">
        <v>15270</v>
      </c>
      <c r="B1043" t="s">
        <v>13</v>
      </c>
      <c r="C1043" t="s">
        <v>80</v>
      </c>
      <c r="D1043" t="str">
        <f>HYPERLINK("Https://www.gov.gr/ipiresies/periousia-kai-phorologia/phorologia-politon/gnostopoiese-khoristes-deloses","Γνωστοποίηση χωριστής δήλωσης")</f>
        <v>Γνωστοποίηση χωριστής δήλωσης</v>
      </c>
      <c r="E1043" t="s">
        <v>59</v>
      </c>
    </row>
    <row r="1044" spans="1:5" x14ac:dyDescent="0.25">
      <c r="A1044">
        <v>15285</v>
      </c>
      <c r="B1044" t="s">
        <v>13</v>
      </c>
      <c r="C1044" t="s">
        <v>80</v>
      </c>
      <c r="D1044" t="str">
        <f>HYPERLINK("Https://www.gov.gr/ipiresies/periousia-kai-phorologia/phorologia-politon/delose-phorologias-eisodematos-php-e1-e2-e3","Δήλωση φορολογίας εισοδήματος ΦΠ (Ε1-Ε2-Ε3)")</f>
        <v>Δήλωση φορολογίας εισοδήματος ΦΠ (Ε1-Ε2-Ε3)</v>
      </c>
      <c r="E1044" t="s">
        <v>59</v>
      </c>
    </row>
    <row r="1045" spans="1:5" x14ac:dyDescent="0.25">
      <c r="A1045">
        <v>15311</v>
      </c>
      <c r="B1045" t="s">
        <v>13</v>
      </c>
      <c r="C1045" t="s">
        <v>80</v>
      </c>
      <c r="D1045" t="str">
        <f>HYPERLINK("Https://www.gov.gr/ipiresies/periousia-kai-phorologia/phorologia-politon/egkuroteta-ekkatharistikou-deloses-phorologias-eisodematos","Εγκυρότητα εκκαθαριστικού δήλωσης φορολογίας εισοδήματος")</f>
        <v>Εγκυρότητα εκκαθαριστικού δήλωσης φορολογίας εισοδήματος</v>
      </c>
      <c r="E1045" t="s">
        <v>59</v>
      </c>
    </row>
    <row r="1046" spans="1:5" x14ac:dyDescent="0.25">
      <c r="A1046">
        <v>15335</v>
      </c>
      <c r="B1046" t="s">
        <v>13</v>
      </c>
      <c r="C1046" t="s">
        <v>80</v>
      </c>
      <c r="D1046" t="str">
        <f>HYPERLINK("Https://www.gov.gr/ipiresies/periousia-kai-phorologia/phorologia-politon/enemerose-ekkatharises-deloses-phorologias-eisodematos","Ενημέρωση εκκαθάρισης δήλωσης φορολογίας εισοδήματος")</f>
        <v>Ενημέρωση εκκαθάρισης δήλωσης φορολογίας εισοδήματος</v>
      </c>
      <c r="E1046" t="s">
        <v>59</v>
      </c>
    </row>
    <row r="1047" spans="1:5" x14ac:dyDescent="0.25">
      <c r="A1047">
        <v>15511</v>
      </c>
      <c r="B1047" t="s">
        <v>13</v>
      </c>
      <c r="C1047" t="s">
        <v>80</v>
      </c>
      <c r="D1047" t="str">
        <f>HYPERLINK("Https://www.gov.gr/ipiresies/periousia-kai-phorologia/phorologia-politon/meniaies-sunallages-kai-lakhnoi","Μηνιαίες συναλλαγές και λαχνοί")</f>
        <v>Μηνιαίες συναλλαγές και λαχνοί</v>
      </c>
      <c r="E1047" t="s">
        <v>59</v>
      </c>
    </row>
    <row r="1048" spans="1:5" x14ac:dyDescent="0.25">
      <c r="A1048">
        <v>15211</v>
      </c>
      <c r="B1048" t="s">
        <v>13</v>
      </c>
      <c r="C1048" t="s">
        <v>80</v>
      </c>
      <c r="D1048" t="str">
        <f>HYPERLINK("Https://www.gov.gr/ipiresies/periousia-kai-phorologia/phorologia-politon/ruthmise-opheilon-pros-ten-phorologike-dioikese","Ρύθμιση οφειλών προς την φορολογική διοίκηση")</f>
        <v>Ρύθμιση οφειλών προς την φορολογική διοίκηση</v>
      </c>
      <c r="E1048" t="s">
        <v>59</v>
      </c>
    </row>
    <row r="1049" spans="1:5" x14ac:dyDescent="0.25">
      <c r="A1049">
        <v>15209</v>
      </c>
      <c r="B1049" t="s">
        <v>10</v>
      </c>
      <c r="C1049" t="s">
        <v>67</v>
      </c>
      <c r="D1049" t="str">
        <f>HYPERLINK("Https://www.gov.gr/ipiresies/polites-kai-kathemerinoteta/askese-eklogikou-dikaiomatos/aitese-eterodemote","Αίτηση ετεροδημότη")</f>
        <v>Αίτηση ετεροδημότη</v>
      </c>
      <c r="E1049" t="s">
        <v>68</v>
      </c>
    </row>
    <row r="1050" spans="1:5" x14ac:dyDescent="0.25">
      <c r="A1050">
        <v>15882</v>
      </c>
      <c r="B1050" t="s">
        <v>10</v>
      </c>
      <c r="C1050" t="s">
        <v>67</v>
      </c>
      <c r="D1050" t="str">
        <f>HYPERLINK("Https://www.gov.gr/ipiresies/polites-kai-kathemerinoteta/askese-eklogikou-dikaiomatos/eggraphe-stous-eidikous-eklogikous-katalogous-exoterikou","Εγγραφή στους ειδικούς εκλογικούς καταλόγους εξωτερικού")</f>
        <v>Εγγραφή στους ειδικούς εκλογικούς καταλόγους εξωτερικού</v>
      </c>
      <c r="E1050" t="s">
        <v>68</v>
      </c>
    </row>
    <row r="1051" spans="1:5" x14ac:dyDescent="0.25">
      <c r="A1051">
        <v>15583</v>
      </c>
      <c r="B1051" t="s">
        <v>10</v>
      </c>
      <c r="C1051" t="s">
        <v>140</v>
      </c>
      <c r="D1051" t="str">
        <f>HYPERLINK("Https://www.gov.gr/ipiresies/polites-kai-kathemerinoteta/dieuthunse-katoikias-kai-epikoinonias/bebaiose-katoikias-eidikes-khreses","Βεβαίωση κατοικίας ειδικής χρήσης")</f>
        <v>Βεβαίωση κατοικίας ειδικής χρήσης</v>
      </c>
      <c r="E1051" t="s">
        <v>59</v>
      </c>
    </row>
    <row r="1052" spans="1:5" x14ac:dyDescent="0.25">
      <c r="A1052">
        <v>15875</v>
      </c>
      <c r="B1052" t="s">
        <v>10</v>
      </c>
      <c r="C1052" t="s">
        <v>140</v>
      </c>
      <c r="D1052" t="str">
        <f>HYPERLINK("Https://www.gov.gr/ipiresies/polites-kai-kathemerinoteta/dieuthunse-katoikias-kai-epikoinonias/bebaiose-monimes-katoikias","Βεβαίωση μόνιμης κατοικίας")</f>
        <v>Βεβαίωση μόνιμης κατοικίας</v>
      </c>
      <c r="E1052" t="s">
        <v>68</v>
      </c>
    </row>
    <row r="1053" spans="1:5" x14ac:dyDescent="0.25">
      <c r="A1053">
        <v>15733</v>
      </c>
      <c r="B1053" t="s">
        <v>10</v>
      </c>
      <c r="C1053" t="s">
        <v>140</v>
      </c>
      <c r="D1053" t="str">
        <f>HYPERLINK("Https://www.gov.gr/ipiresies/polites-kai-kathemerinoteta/dieuthunse-katoikias-kai-epikoinonias/kataggelia-parapona-gia-takhudromikes-uperesies","Καταγγελία / παράπονα για ταχυδρομικές υπηρεσίες")</f>
        <v>Καταγγελία / παράπονα για ταχυδρομικές υπηρεσίες</v>
      </c>
      <c r="E1053" t="s">
        <v>162</v>
      </c>
    </row>
    <row r="1054" spans="1:5" x14ac:dyDescent="0.25">
      <c r="A1054">
        <v>15998</v>
      </c>
      <c r="B1054" t="s">
        <v>10</v>
      </c>
      <c r="C1054" t="s">
        <v>140</v>
      </c>
      <c r="D1054" t="str">
        <f>HYPERLINK("Https://www.gov.gr/ipiresies/polites-kai-kathemerinoteta/dieuthunse-katoikias-kai-epikoinonias/pistopoietiko-monimou-katoikou-exoterikou","Πιστοποιητικό μονίμου κατοίκου εξωτερικού")</f>
        <v>Πιστοποιητικό μονίμου κατοίκου εξωτερικού</v>
      </c>
      <c r="E1054" t="s">
        <v>99</v>
      </c>
    </row>
    <row r="1055" spans="1:5" x14ac:dyDescent="0.25">
      <c r="A1055">
        <v>16750</v>
      </c>
      <c r="B1055" t="s">
        <v>10</v>
      </c>
      <c r="C1055" t="s">
        <v>73</v>
      </c>
      <c r="D1055" t="str">
        <f>HYPERLINK("Https://www.gov.gr/ipiresies/polites-kai-kathemerinoteta/ex-apostaseos-exuperetese-politon/aitese-sto-protokollo-tou-upourgeio-anaptuxes-kai-ependuseon","Αίτηση στο πρωτόκολλο του Υπουργείο Ανάπτυξης και Επενδύσεων")</f>
        <v>Αίτηση στο πρωτόκολλο του Υπουργείο Ανάπτυξης και Επενδύσεων</v>
      </c>
      <c r="E1055" t="s">
        <v>74</v>
      </c>
    </row>
    <row r="1056" spans="1:5" x14ac:dyDescent="0.25">
      <c r="A1056">
        <v>15749</v>
      </c>
      <c r="B1056" t="s">
        <v>10</v>
      </c>
      <c r="C1056" t="s">
        <v>73</v>
      </c>
      <c r="D1056" t="str">
        <f>HYPERLINK("Https://www.gov.gr/ipiresies/polites-kai-kathemerinoteta/ex-apostaseos-exuperetese-politon/exuperetese-me-telediaskepse-apo-kentro-exupereteses-politon-kep","Εξυπηρέτηση με τηλεδιάσκεψη από Κέντρο Εξυπηρέτησης Πολιτών (ΚΕΠ)")</f>
        <v>Εξυπηρέτηση με τηλεδιάσκεψη από Κέντρο Εξυπηρέτησης Πολιτών (ΚΕΠ)</v>
      </c>
      <c r="E1056" t="s">
        <v>26</v>
      </c>
    </row>
    <row r="1057" spans="1:5" x14ac:dyDescent="0.25">
      <c r="A1057">
        <v>15958</v>
      </c>
      <c r="B1057" t="s">
        <v>10</v>
      </c>
      <c r="C1057" t="s">
        <v>73</v>
      </c>
      <c r="D1057" t="str">
        <f>HYPERLINK("Https://www.gov.gr/ipiresies/polites-kai-kathemerinoteta/ex-apostaseos-exuperetese-politon/myConsulLive","Εξυπηρέτηση με τηλεδιάσκεψη από Προξενική Αρχή του Υπουργείου Εξωτερικών")</f>
        <v>Εξυπηρέτηση με τηλεδιάσκεψη από Προξενική Αρχή του Υπουργείου Εξωτερικών</v>
      </c>
      <c r="E1057" t="s">
        <v>99</v>
      </c>
    </row>
    <row r="1058" spans="1:5" x14ac:dyDescent="0.25">
      <c r="A1058">
        <v>15889</v>
      </c>
      <c r="B1058" t="s">
        <v>10</v>
      </c>
      <c r="C1058" t="s">
        <v>73</v>
      </c>
      <c r="D1058" t="str">
        <f>HYPERLINK("Https://www.gov.gr/ipiresies/polites-kai-kathemerinoteta/ex-apostaseos-exuperetese-politon/exuperetese-me-telediaskepse-apo-ton-organismo-apaskholeses-ergatikou-dunamikou-oaed","Εξυπηρέτηση με τηλεδιάσκεψη από τη Δημόσια Υπηρεσία Απασχόλησης (ΔΥΠΑ)")</f>
        <v>Εξυπηρέτηση με τηλεδιάσκεψη από τη Δημόσια Υπηρεσία Απασχόλησης (ΔΥΠΑ)</v>
      </c>
      <c r="E1058" t="s">
        <v>66</v>
      </c>
    </row>
    <row r="1059" spans="1:5" x14ac:dyDescent="0.25">
      <c r="A1059">
        <v>16415</v>
      </c>
      <c r="B1059" t="s">
        <v>10</v>
      </c>
      <c r="C1059" t="s">
        <v>73</v>
      </c>
      <c r="D1059" t="str">
        <f>HYPERLINK("Https://www.gov.gr/ipiresies/polites-kai-kathemerinoteta/ex-apostaseos-exuperetese-politon/exuperetese-me-telediaskepse-apo-ten-anexartete-arkhe-demosion-esodon-aade","Εξυπηρέτηση με τηλεδιάσκεψη από την Ανεξάρτητη Αρχή Δημοσίων Εσόδων (ΑΑΔΕ)")</f>
        <v>Εξυπηρέτηση με τηλεδιάσκεψη από την Ανεξάρτητη Αρχή Δημοσίων Εσόδων (ΑΑΔΕ)</v>
      </c>
      <c r="E1059" t="s">
        <v>59</v>
      </c>
    </row>
    <row r="1060" spans="1:5" x14ac:dyDescent="0.25">
      <c r="A1060">
        <v>16719</v>
      </c>
      <c r="B1060" t="s">
        <v>10</v>
      </c>
      <c r="C1060" t="s">
        <v>73</v>
      </c>
      <c r="D1060" t="str">
        <f>HYPERLINK("Https://www.gov.gr/ipiresies/polites-kai-kathemerinoteta/ex-apostaseos-exuperetese-politon/exuperetese-me-telediaskepse-apo-to-demo-sas","Εξυπηρέτηση με τηλεδιάσκεψη από το Δήμο σας")</f>
        <v>Εξυπηρέτηση με τηλεδιάσκεψη από το Δήμο σας</v>
      </c>
      <c r="E1060" t="s">
        <v>26</v>
      </c>
    </row>
    <row r="1061" spans="1:5" x14ac:dyDescent="0.25">
      <c r="A1061">
        <v>16685</v>
      </c>
      <c r="B1061" t="s">
        <v>10</v>
      </c>
      <c r="C1061" t="s">
        <v>73</v>
      </c>
      <c r="D1061" t="str">
        <f>HYPERLINK("Https://www.gov.gr/ipiresies/polites-kai-kathemerinoteta/ex-apostaseos-exuperetese-politon/exuperetese-me-telediaskepse-apo-to-elleniko-ktematologio","Εξυπηρέτηση με τηλεδιάσκεψη από το Ελληνικό Κτηματολόγιο")</f>
        <v>Εξυπηρέτηση με τηλεδιάσκεψη από το Ελληνικό Κτηματολόγιο</v>
      </c>
      <c r="E1061" t="s">
        <v>97</v>
      </c>
    </row>
    <row r="1062" spans="1:5" x14ac:dyDescent="0.25">
      <c r="A1062">
        <v>16459</v>
      </c>
      <c r="B1062" t="s">
        <v>10</v>
      </c>
      <c r="C1062" t="s">
        <v>73</v>
      </c>
      <c r="D1062" t="str">
        <f>HYPERLINK("Https://www.gov.gr/ipiresies/polites-kai-kathemerinoteta/ex-apostaseos-exuperetese-politon/exuperetese-me-telediaskepse-apo-ton-eniaio-phorea-koinonikes-asphalises-eephka","Εξυπηρέτηση με τηλεδιάσκεψη από τον Ενιαίο Φορέα Κοινωνικής Ασφάλισης (eΕΦΚΑ)")</f>
        <v>Εξυπηρέτηση με τηλεδιάσκεψη από τον Ενιαίο Φορέα Κοινωνικής Ασφάλισης (eΕΦΚΑ)</v>
      </c>
      <c r="E1062" t="s">
        <v>44</v>
      </c>
    </row>
    <row r="1063" spans="1:5" x14ac:dyDescent="0.25">
      <c r="A1063">
        <v>16767</v>
      </c>
      <c r="B1063" t="s">
        <v>10</v>
      </c>
      <c r="C1063" t="s">
        <v>73</v>
      </c>
      <c r="D1063" t="str">
        <f>HYPERLINK("Https://www.gov.gr/ipiresies/polites-kai-kathemerinoteta/ex-apostaseos-exuperetese-politon/exuperetese-me-telediaskepse-apo-ton-sunegoro-tou-polite","Εξυπηρέτηση με τηλεδιάσκεψη από τον Συνήγορο του Πολίτη")</f>
        <v>Εξυπηρέτηση με τηλεδιάσκεψη από τον Συνήγορο του Πολίτη</v>
      </c>
      <c r="E1063" t="s">
        <v>176</v>
      </c>
    </row>
    <row r="1064" spans="1:5" x14ac:dyDescent="0.25">
      <c r="A1064">
        <v>16365</v>
      </c>
      <c r="B1064" t="s">
        <v>10</v>
      </c>
      <c r="C1064" t="s">
        <v>73</v>
      </c>
      <c r="D1064" t="str">
        <f>HYPERLINK("Https://www.gov.gr/ipiresies/polites-kai-kathemerinoteta/ex-apostaseos-exuperetese-politon/elektroniko-aitema-rantebou-se-kentro-exupereteses-politon-kep","Ηλεκτρονικό αίτημα ραντεβού σε Κέντρο Εξυπηρέτησης Πολιτών (ΚΕΠ)")</f>
        <v>Ηλεκτρονικό αίτημα ραντεβού σε Κέντρο Εξυπηρέτησης Πολιτών (ΚΕΠ)</v>
      </c>
      <c r="E1064" t="s">
        <v>26</v>
      </c>
    </row>
    <row r="1065" spans="1:5" x14ac:dyDescent="0.25">
      <c r="A1065">
        <v>16703</v>
      </c>
      <c r="B1065" t="s">
        <v>10</v>
      </c>
      <c r="C1065" t="s">
        <v>73</v>
      </c>
      <c r="D1065" t="str">
        <f>HYPERLINK("Https://www.gov.gr/ipiresies/polites-kai-kathemerinoteta/ex-apostaseos-exuperetese-politon/elektroniko-aitema-rantebou-se-uperesies-tes-anexartetes-arkhes-demosion-esodon-aade","Ηλεκτρονικό αίτημα ραντεβού σε υπηρεσίες της Ανεξάρτητης Αρχής Δημοσίων Εσόδων (ΑΑΔΕ)")</f>
        <v>Ηλεκτρονικό αίτημα ραντεβού σε υπηρεσίες της Ανεξάρτητης Αρχής Δημοσίων Εσόδων (ΑΑΔΕ)</v>
      </c>
      <c r="E1065" t="s">
        <v>59</v>
      </c>
    </row>
    <row r="1066" spans="1:5" x14ac:dyDescent="0.25">
      <c r="A1066">
        <v>16567</v>
      </c>
      <c r="B1066" t="s">
        <v>10</v>
      </c>
      <c r="C1066" t="s">
        <v>73</v>
      </c>
      <c r="D1066" t="str">
        <f>HYPERLINK("Https://www.gov.gr/ipiresies/polites-kai-kathemerinoteta/ex-apostaseos-exuperetese-politon/elektroniko-aitema-rantebou-se-uperesies-tou-organismou-apaskholeses-ergatikou-dunamikou-oaed","Ηλεκτρονικό αίτημα ραντεβού σε υπηρεσίες της Δημόσιας Υπηρεσίας Απασχόλησης (ΔΥΠΑ)")</f>
        <v>Ηλεκτρονικό αίτημα ραντεβού σε υπηρεσίες της Δημόσιας Υπηρεσίας Απασχόλησης (ΔΥΠΑ)</v>
      </c>
      <c r="E1066" t="s">
        <v>66</v>
      </c>
    </row>
    <row r="1067" spans="1:5" x14ac:dyDescent="0.25">
      <c r="A1067">
        <v>16720</v>
      </c>
      <c r="B1067" t="s">
        <v>10</v>
      </c>
      <c r="C1067" t="s">
        <v>73</v>
      </c>
      <c r="D1067" t="str">
        <f>HYPERLINK("Https://www.gov.gr/ipiresies/polites-kai-kathemerinoteta/ex-apostaseos-exuperetese-politon/elektroniko-aitema-rantebou-se-uperesies-tou-demou","Ηλεκτρονικό αίτημα ραντεβού σε υπηρεσίες του Δήμου")</f>
        <v>Ηλεκτρονικό αίτημα ραντεβού σε υπηρεσίες του Δήμου</v>
      </c>
      <c r="E1067" t="s">
        <v>26</v>
      </c>
    </row>
    <row r="1068" spans="1:5" x14ac:dyDescent="0.25">
      <c r="A1068">
        <v>15778</v>
      </c>
      <c r="B1068" t="s">
        <v>10</v>
      </c>
      <c r="C1068" t="s">
        <v>73</v>
      </c>
      <c r="D1068" t="str">
        <f>HYPERLINK("Https://www.gov.gr/ipiresies/polites-kai-kathemerinoteta/ex-apostaseos-exuperetese-politon/elektroniko-aitema-rantebou-se-uperesies-tou-eniaiou-phorea-koinonikes-asphalises-eephka","Ηλεκτρονικό αίτημα ραντεβού σε υπηρεσίες του Ενιαίου Φορέα Κοινωνικής Ασφάλισης (eΕΦΚΑ)")</f>
        <v>Ηλεκτρονικό αίτημα ραντεβού σε υπηρεσίες του Ενιαίου Φορέα Κοινωνικής Ασφάλισης (eΕΦΚΑ)</v>
      </c>
      <c r="E1068" t="s">
        <v>44</v>
      </c>
    </row>
    <row r="1069" spans="1:5" x14ac:dyDescent="0.25">
      <c r="A1069">
        <v>16766</v>
      </c>
      <c r="B1069" t="s">
        <v>10</v>
      </c>
      <c r="C1069" t="s">
        <v>73</v>
      </c>
      <c r="D1069" t="str">
        <f>HYPERLINK("Https://www.gov.gr/ipiresies/polites-kai-kathemerinoteta/ex-apostaseos-exuperetese-politon/elektroniko-aitema-rantebou-se-uperesies-tou-sunegorou-tou-polite","Ηλεκτρονικό αίτημα ραντεβού σε υπηρεσίες του Συνήγορου του Πολίτη")</f>
        <v>Ηλεκτρονικό αίτημα ραντεβού σε υπηρεσίες του Συνήγορου του Πολίτη</v>
      </c>
      <c r="E1069" t="s">
        <v>176</v>
      </c>
    </row>
    <row r="1070" spans="1:5" x14ac:dyDescent="0.25">
      <c r="A1070">
        <v>16429</v>
      </c>
      <c r="B1070" t="s">
        <v>10</v>
      </c>
      <c r="C1070" t="s">
        <v>73</v>
      </c>
      <c r="D1070" t="str">
        <f>HYPERLINK("Https://www.gov.gr/ipiresies/polites-kai-kathemerinoteta/ex-apostaseos-exuperetese-politon/elektroniko-aitema-rantebou-se-uperesies-tou-upourgeiou-agrotikes-anaptuxes-kai-trophimon","Ηλεκτρονικό αίτημα ραντεβού σε υπηρεσίες του Υπουργείου Αγροτικής Ανάπτυξης και Τροφίμων")</f>
        <v>Ηλεκτρονικό αίτημα ραντεβού σε υπηρεσίες του Υπουργείου Αγροτικής Ανάπτυξης και Τροφίμων</v>
      </c>
      <c r="E1070" t="s">
        <v>22</v>
      </c>
    </row>
    <row r="1071" spans="1:5" x14ac:dyDescent="0.25">
      <c r="A1071">
        <v>16422</v>
      </c>
      <c r="B1071" t="s">
        <v>10</v>
      </c>
      <c r="C1071" t="s">
        <v>73</v>
      </c>
      <c r="D1071" t="str">
        <f>HYPERLINK("Https://www.gov.gr/ipiresies/polites-kai-kathemerinoteta/ex-apostaseos-exuperetese-politon/elektroniko-aitema-rantebou-se-uperesies-tou-upourgeiou-esoterikon","Ηλεκτρονικό αίτημα ραντεβού σε υπηρεσίες του Υπουργείου Εσωτερικών")</f>
        <v>Ηλεκτρονικό αίτημα ραντεβού σε υπηρεσίες του Υπουργείου Εσωτερικών</v>
      </c>
      <c r="E1071" t="s">
        <v>68</v>
      </c>
    </row>
    <row r="1072" spans="1:5" x14ac:dyDescent="0.25">
      <c r="A1072">
        <v>16686</v>
      </c>
      <c r="B1072" t="s">
        <v>10</v>
      </c>
      <c r="C1072" t="s">
        <v>73</v>
      </c>
      <c r="D1072" t="str">
        <f>HYPERLINK("Https://www.gov.gr/ipiresies/polites-kai-kathemerinoteta/ex-apostaseos-exuperetese-politon/prefecturesrantevou","Ηλεκτρονικό αίτημα ραντεβού σε υπηρεσίες των Περιφερειών")</f>
        <v>Ηλεκτρονικό αίτημα ραντεβού σε υπηρεσίες των Περιφερειών</v>
      </c>
      <c r="E1072" t="s">
        <v>106</v>
      </c>
    </row>
    <row r="1073" spans="1:5" x14ac:dyDescent="0.25">
      <c r="A1073">
        <v>16657</v>
      </c>
      <c r="B1073" t="s">
        <v>10</v>
      </c>
      <c r="C1073" t="s">
        <v>101</v>
      </c>
      <c r="D1073" t="str">
        <f>HYPERLINK("Https://www.gov.gr/ipiresies/polites-kai-kathemerinoteta/elektronikes-upographes/anaklese-pistopoietikou-elektronikes-upographes-tes-aped","Ανάκληση πιστοποιητικού ηλεκτρονικής υπογραφής της ΑΠΕΔ")</f>
        <v>Ανάκληση πιστοποιητικού ηλεκτρονικής υπογραφής της ΑΠΕΔ</v>
      </c>
      <c r="E1073" t="s">
        <v>26</v>
      </c>
    </row>
    <row r="1074" spans="1:5" x14ac:dyDescent="0.25">
      <c r="A1074">
        <v>16655</v>
      </c>
      <c r="B1074" t="s">
        <v>10</v>
      </c>
      <c r="C1074" t="s">
        <v>101</v>
      </c>
      <c r="D1074" t="str">
        <f>HYPERLINK("Https://www.gov.gr/ipiresies/polites-kai-kathemerinoteta/elektronikes-upographes/ekdose-egkekrimenou-pistopoietikou-elektronikes-upographes-apo-ten-aped","Απόκτηση ηλεκτρονικής υπογραφής από την ΑΠΕΔ")</f>
        <v>Απόκτηση ηλεκτρονικής υπογραφής από την ΑΠΕΔ</v>
      </c>
      <c r="E1074" t="s">
        <v>26</v>
      </c>
    </row>
    <row r="1075" spans="1:5" x14ac:dyDescent="0.25">
      <c r="A1075">
        <v>16658</v>
      </c>
      <c r="B1075" t="s">
        <v>10</v>
      </c>
      <c r="C1075" t="s">
        <v>101</v>
      </c>
      <c r="D1075" t="str">
        <f>HYPERLINK("Https://www.gov.gr/ipiresies/polites-kai-kathemerinoteta/elektronikes-upographes/upeuthune-delose-gia-anaklese-elektronikes-upographes-tes-aped","Υπεύθυνη δήλωση για ανάκληση ηλεκτρονικής υπογραφής της ΑΠΕΔ")</f>
        <v>Υπεύθυνη δήλωση για ανάκληση ηλεκτρονικής υπογραφής της ΑΠΕΔ</v>
      </c>
      <c r="E1075" t="s">
        <v>26</v>
      </c>
    </row>
    <row r="1076" spans="1:5" x14ac:dyDescent="0.25">
      <c r="A1076">
        <v>16654</v>
      </c>
      <c r="B1076" t="s">
        <v>10</v>
      </c>
      <c r="C1076" t="s">
        <v>101</v>
      </c>
      <c r="D1076" t="str">
        <f>HYPERLINK("Https://www.gov.gr/ipiresies/polites-kai-kathemerinoteta/elektronikes-upographes/ekdose-upeuthunes-deloses-gia-egkekrimeno-pistopoietiko-elektronikes-upographes-tes-aped","Υπεύθυνη δήλωση για απόκτηση ηλεκτρονικής υπογραφής από την ΑΠΕΔ")</f>
        <v>Υπεύθυνη δήλωση για απόκτηση ηλεκτρονικής υπογραφής από την ΑΠΕΔ</v>
      </c>
      <c r="E1076" t="s">
        <v>26</v>
      </c>
    </row>
    <row r="1077" spans="1:5" x14ac:dyDescent="0.25">
      <c r="A1077">
        <v>16617</v>
      </c>
      <c r="B1077" t="s">
        <v>10</v>
      </c>
      <c r="C1077" t="s">
        <v>21</v>
      </c>
      <c r="D1077" t="str">
        <f>HYPERLINK("Https://www.gov.gr/ipiresies/polites-kai-kathemerinoteta/kataggelies/kataggelia-gia-themata-armodiotetas-tou-upourgeiou-agrotikes-anaptuxes-kai-trophimon","Kαταγγελία για θέματα αρμοδιότητας του Υπουργείου Αγροτικής Ανάπτυξης και Τροφίμων")</f>
        <v>Kαταγγελία για θέματα αρμοδιότητας του Υπουργείου Αγροτικής Ανάπτυξης και Τροφίμων</v>
      </c>
      <c r="E1077" t="s">
        <v>22</v>
      </c>
    </row>
    <row r="1078" spans="1:5" x14ac:dyDescent="0.25">
      <c r="A1078">
        <v>16717</v>
      </c>
      <c r="B1078" t="s">
        <v>10</v>
      </c>
      <c r="C1078" t="s">
        <v>21</v>
      </c>
      <c r="D1078" t="str">
        <f>HYPERLINK("Https://www.gov.gr/ipiresies/polites-kai-kathemerinoteta/kataggelies/vas","Αντίγραφο από το Βιβλίο Αδικημάτων και Συμβάντων")</f>
        <v>Αντίγραφο από το Βιβλίο Αδικημάτων και Συμβάντων</v>
      </c>
      <c r="E1078" t="s">
        <v>29</v>
      </c>
    </row>
    <row r="1079" spans="1:5" x14ac:dyDescent="0.25">
      <c r="A1079">
        <v>15731</v>
      </c>
      <c r="B1079" t="s">
        <v>10</v>
      </c>
      <c r="C1079" t="s">
        <v>21</v>
      </c>
      <c r="D1079" t="str">
        <f>HYPERLINK("Https://www.gov.gr/ipiresies/polites-kai-kathemerinoteta/kataggelies/kataggelia-parapona-gia-themata-parembolon","Καταγγελία / παράπονα για θέματα παρεμβολών")</f>
        <v>Καταγγελία / παράπονα για θέματα παρεμβολών</v>
      </c>
      <c r="E1079" t="s">
        <v>162</v>
      </c>
    </row>
    <row r="1080" spans="1:5" x14ac:dyDescent="0.25">
      <c r="A1080">
        <v>15732</v>
      </c>
      <c r="B1080" t="s">
        <v>10</v>
      </c>
      <c r="C1080" t="s">
        <v>21</v>
      </c>
      <c r="D1080" t="str">
        <f>HYPERLINK("Https://www.gov.gr/ipiresies/polites-kai-kathemerinoteta/kataggelies/kataggelia-parapona-gia-kataskeue-keraias-kinetes-telephonias","Καταγγελία / παράπονα για κατασκευή κεραίας κινητής τηλεφωνίας")</f>
        <v>Καταγγελία / παράπονα για κατασκευή κεραίας κινητής τηλεφωνίας</v>
      </c>
      <c r="E1080" t="s">
        <v>162</v>
      </c>
    </row>
    <row r="1081" spans="1:5" x14ac:dyDescent="0.25">
      <c r="A1081">
        <v>15730</v>
      </c>
      <c r="B1081" t="s">
        <v>10</v>
      </c>
      <c r="C1081" t="s">
        <v>21</v>
      </c>
      <c r="D1081" t="str">
        <f>HYPERLINK("Https://www.gov.gr/ipiresies/polites-kai-kathemerinoteta/kataggelies/kataggelia-parapona-gia-telephonia-diadiktuo","Καταγγελία / παράπονα για τηλεφωνία - διαδίκτυο")</f>
        <v>Καταγγελία / παράπονα για τηλεφωνία - διαδίκτυο</v>
      </c>
      <c r="E1081" t="s">
        <v>162</v>
      </c>
    </row>
    <row r="1082" spans="1:5" x14ac:dyDescent="0.25">
      <c r="A1082">
        <v>16754</v>
      </c>
      <c r="B1082" t="s">
        <v>10</v>
      </c>
      <c r="C1082" t="s">
        <v>21</v>
      </c>
      <c r="D1082" t="str">
        <f>HYPERLINK("Https://www.gov.gr/ipiresies/polites-kai-kathemerinoteta/kataggelies/kataggelia-gia-adikemata-teloumena-se-baros-anelikon-meso-diadiktuou","Καταγγελία για αδικήματα τελούμενα σε βάρος ανηλίκων μέσω διαδικτύου")</f>
        <v>Καταγγελία για αδικήματα τελούμενα σε βάρος ανηλίκων μέσω διαδικτύου</v>
      </c>
      <c r="E1082" t="s">
        <v>29</v>
      </c>
    </row>
    <row r="1083" spans="1:5" x14ac:dyDescent="0.25">
      <c r="A1083">
        <v>16761</v>
      </c>
      <c r="B1083" t="s">
        <v>10</v>
      </c>
      <c r="C1083" t="s">
        <v>21</v>
      </c>
      <c r="D1083" t="str">
        <f>HYPERLINK("Https://www.gov.gr/ipiresies/polites-kai-kathemerinoteta/kataggelies/kataggelia-gia-oikonomika-kubernoegklemata-opou-emplekontai-elektronika-psephiaka-nomismata","Καταγγελία για οικονομικά κυβερνοεγκλήματα όπου εμπλέκονται ηλεκτρονικά/ψηφιακά νομίσματα")</f>
        <v>Καταγγελία για οικονομικά κυβερνοεγκλήματα όπου εμπλέκονται ηλεκτρονικά/ψηφιακά νομίσματα</v>
      </c>
      <c r="E1083" t="s">
        <v>29</v>
      </c>
    </row>
    <row r="1084" spans="1:5" x14ac:dyDescent="0.25">
      <c r="A1084">
        <v>16348</v>
      </c>
      <c r="B1084" t="s">
        <v>10</v>
      </c>
      <c r="C1084" t="s">
        <v>21</v>
      </c>
      <c r="D1084" t="str">
        <f>HYPERLINK("Https://www.gov.gr/ipiresies/polites-kai-kathemerinoteta/kataggelies/kataggelia-gia-ten-parabiase-tou-aporretou-ton-epikoinonion","Καταγγελία για παραβίαση του απορρήτου των επικοινωνιών")</f>
        <v>Καταγγελία για παραβίαση του απορρήτου των επικοινωνιών</v>
      </c>
      <c r="E1084" t="s">
        <v>24</v>
      </c>
    </row>
    <row r="1085" spans="1:5" x14ac:dyDescent="0.25">
      <c r="A1085">
        <v>16759</v>
      </c>
      <c r="B1085" t="s">
        <v>10</v>
      </c>
      <c r="C1085" t="s">
        <v>21</v>
      </c>
      <c r="D1085" t="str">
        <f>HYPERLINK("Https://www.gov.gr/ipiresies/polites-kai-kathemerinoteta/kataggelies/kataggelia-gia-parabiase-tou-aporretou-ton-elektronikon-kai-telephonikon-epikoinonion","Καταγγελία για παραβίαση του απορρήτου των ηλεκτρονικών και τηλεφωνικών επικοινωνιών")</f>
        <v>Καταγγελία για παραβίαση του απορρήτου των ηλεκτρονικών και τηλεφωνικών επικοινωνιών</v>
      </c>
      <c r="E1085" t="s">
        <v>29</v>
      </c>
    </row>
    <row r="1086" spans="1:5" x14ac:dyDescent="0.25">
      <c r="A1086">
        <v>16758</v>
      </c>
      <c r="B1086" t="s">
        <v>10</v>
      </c>
      <c r="C1086" t="s">
        <v>21</v>
      </c>
      <c r="D1086" t="str">
        <f>HYPERLINK("Https://www.gov.gr/ipiresies/polites-kai-kathemerinoteta/kataggelies/kataggelia-gia-paranome-diakinese-optikoakoustikon-ergon-meso-diadiktuou","Καταγγελία για παράνομη διακίνηση οπτικοακουστικών έργων μέσω διαδικτύου")</f>
        <v>Καταγγελία για παράνομη διακίνηση οπτικοακουστικών έργων μέσω διαδικτύου</v>
      </c>
      <c r="E1086" t="s">
        <v>29</v>
      </c>
    </row>
    <row r="1087" spans="1:5" x14ac:dyDescent="0.25">
      <c r="A1087">
        <v>16757</v>
      </c>
      <c r="B1087" t="s">
        <v>10</v>
      </c>
      <c r="C1087" t="s">
        <v>21</v>
      </c>
      <c r="D1087" t="str">
        <f>HYPERLINK("Https://www.gov.gr/ipiresies/polites-kai-kathemerinoteta/kataggelies/kataggelia-gia-paranome-prosbase-se-elektroniko-upologiste","Καταγγελία για παράνομη πρόσβαση σε ηλεκτρονικό υπολογιστή")</f>
        <v>Καταγγελία για παράνομη πρόσβαση σε ηλεκτρονικό υπολογιστή</v>
      </c>
      <c r="E1087" t="s">
        <v>29</v>
      </c>
    </row>
    <row r="1088" spans="1:5" x14ac:dyDescent="0.25">
      <c r="A1088">
        <v>16760</v>
      </c>
      <c r="B1088" t="s">
        <v>10</v>
      </c>
      <c r="C1088" t="s">
        <v>21</v>
      </c>
      <c r="D1088" t="str">
        <f>HYPERLINK("Https://www.gov.gr/ipiresies/polites-kai-kathemerinoteta/kataggelies/kataggelia-gia-periptoseis-apates-me-upologiste","Καταγγελία για περιπτώσεις απάτης με υπολογιστή")</f>
        <v>Καταγγελία για περιπτώσεις απάτης με υπολογιστή</v>
      </c>
      <c r="E1088" t="s">
        <v>29</v>
      </c>
    </row>
    <row r="1089" spans="1:5" x14ac:dyDescent="0.25">
      <c r="A1089">
        <v>16444</v>
      </c>
      <c r="B1089" t="s">
        <v>10</v>
      </c>
      <c r="C1089" t="s">
        <v>21</v>
      </c>
      <c r="D1089" t="str">
        <f>HYPERLINK("Https://www.gov.gr/ipiresies/polites-kai-kathemerinoteta/kataggelies/kataggelia-parabiases-tes-nomothesias-gia-ta-prosopika-dedomena","Καταγγελία παραβίασης της νομοθεσίας για τα προσωπικά δεδομένα")</f>
        <v>Καταγγελία παραβίασης της νομοθεσίας για τα προσωπικά δεδομένα</v>
      </c>
      <c r="E1089" t="s">
        <v>45</v>
      </c>
    </row>
    <row r="1090" spans="1:5" x14ac:dyDescent="0.25">
      <c r="A1090">
        <v>15619</v>
      </c>
      <c r="B1090" t="s">
        <v>10</v>
      </c>
      <c r="C1090" t="s">
        <v>21</v>
      </c>
      <c r="D1090" t="str">
        <f>HYPERLINK("Https://www.gov.gr/ipiresies/polites-kai-kathemerinoteta/kataggelies/upobole-anaphoras-sto-sunegoro-tou-polite","Υποβολή αναφοράς στο Συνήγορο του Πολίτη")</f>
        <v>Υποβολή αναφοράς στο Συνήγορο του Πολίτη</v>
      </c>
      <c r="E1090" t="s">
        <v>176</v>
      </c>
    </row>
    <row r="1091" spans="1:5" x14ac:dyDescent="0.25">
      <c r="A1091">
        <v>16046</v>
      </c>
      <c r="B1091" t="s">
        <v>10</v>
      </c>
      <c r="C1091" t="s">
        <v>32</v>
      </c>
      <c r="D1091" t="str">
        <f>HYPERLINK("Https://www.gov.gr/ipiresies/polites-kai-kathemerinoteta/koinonike-aroge/adeia-dienergeias-eranou-lakheiophorou-e-philanthropikes-agoras","Άδεια διενέργειας εράνου / λαχειοφόρου ή φιλανθρωπικής αγοράς")</f>
        <v>Άδεια διενέργειας εράνου / λαχειοφόρου ή φιλανθρωπικής αγοράς</v>
      </c>
      <c r="E1091" t="s">
        <v>31</v>
      </c>
    </row>
    <row r="1092" spans="1:5" x14ac:dyDescent="0.25">
      <c r="A1092">
        <v>16053</v>
      </c>
      <c r="B1092" t="s">
        <v>10</v>
      </c>
      <c r="C1092" t="s">
        <v>32</v>
      </c>
      <c r="D1092" t="str">
        <f>HYPERLINK("Https://www.gov.gr/ipiresies/polites-kai-kathemerinoteta/koinonike-aroge/antigrapha-kai-plerophories-phakelou-prosphugikou-akinetou","Αντίγραφα και πληροφορίες φακέλου προσφυγικού ακινήτου")</f>
        <v>Αντίγραφα και πληροφορίες φακέλου προσφυγικού ακινήτου</v>
      </c>
      <c r="E1092" t="s">
        <v>31</v>
      </c>
    </row>
    <row r="1093" spans="1:5" x14ac:dyDescent="0.25">
      <c r="A1093">
        <v>16049</v>
      </c>
      <c r="B1093" t="s">
        <v>10</v>
      </c>
      <c r="C1093" t="s">
        <v>32</v>
      </c>
      <c r="D1093" t="str">
        <f>HYPERLINK("Https://www.gov.gr/ipiresies/polites-kai-kathemerinoteta/koinonike-aroge/antigrapho-parakhoreteriou-prosphugikou-akinetou","Αντίγραφο παραχωρητηρίου προσφυγικού ακινήτου")</f>
        <v>Αντίγραφο παραχωρητηρίου προσφυγικού ακινήτου</v>
      </c>
      <c r="E1093" t="s">
        <v>31</v>
      </c>
    </row>
    <row r="1094" spans="1:5" x14ac:dyDescent="0.25">
      <c r="A1094">
        <v>16054</v>
      </c>
      <c r="B1094" t="s">
        <v>10</v>
      </c>
      <c r="C1094" t="s">
        <v>32</v>
      </c>
      <c r="D1094" t="str">
        <f>HYPERLINK("Https://www.gov.gr/ipiresies/polites-kai-kathemerinoteta/koinonike-aroge/bebaiose-me-anakleses-parakhoreteriou-prosphugikou-akinetou","Βεβαίωση μη ανάκλησης παραχωρητηρίου προσφυγικού ακινήτου")</f>
        <v>Βεβαίωση μη ανάκλησης παραχωρητηρίου προσφυγικού ακινήτου</v>
      </c>
      <c r="E1094" t="s">
        <v>31</v>
      </c>
    </row>
    <row r="1095" spans="1:5" x14ac:dyDescent="0.25">
      <c r="A1095">
        <v>16056</v>
      </c>
      <c r="B1095" t="s">
        <v>10</v>
      </c>
      <c r="C1095" t="s">
        <v>32</v>
      </c>
      <c r="D1095" t="str">
        <f>HYPERLINK("Https://www.gov.gr/ipiresies/polites-kai-kathemerinoteta/koinonike-aroge/bebaiose-nomimotetas-antigrapha-skhedion-prosphugikou-ktismatos","Βεβαίωση νομιμότητας / αντίγραφα σχεδίων προσφυγικού κτίσματος")</f>
        <v>Βεβαίωση νομιμότητας / αντίγραφα σχεδίων προσφυγικού κτίσματος</v>
      </c>
      <c r="E1095" t="s">
        <v>31</v>
      </c>
    </row>
    <row r="1096" spans="1:5" x14ac:dyDescent="0.25">
      <c r="A1096">
        <v>16185</v>
      </c>
      <c r="B1096" t="s">
        <v>10</v>
      </c>
      <c r="C1096" t="s">
        <v>32</v>
      </c>
      <c r="D1096" t="str">
        <f>HYPERLINK("Https://www.gov.gr/ipiresies/polites-kai-kathemerinoteta/koinonike-aroge/dikaioukhoi-koinonikou-pantopoleiou","Δικαιούχοι Κοινωνικού Παντοπωλείου")</f>
        <v>Δικαιούχοι Κοινωνικού Παντοπωλείου</v>
      </c>
      <c r="E1096" t="s">
        <v>34</v>
      </c>
    </row>
    <row r="1097" spans="1:5" x14ac:dyDescent="0.25">
      <c r="A1097">
        <v>16052</v>
      </c>
      <c r="B1097" t="s">
        <v>10</v>
      </c>
      <c r="C1097" t="s">
        <v>32</v>
      </c>
      <c r="D1097" t="str">
        <f>HYPERLINK("Https://www.gov.gr/ipiresies/polites-kai-kathemerinoteta/koinonike-aroge/diorthose-parakhoreteriou-prosphugikes-idioktesias","Διόρθωση παραχωρητηρίου προσφυγικής ιδιοκτησίας")</f>
        <v>Διόρθωση παραχωρητηρίου προσφυγικής ιδιοκτησίας</v>
      </c>
      <c r="E1097" t="s">
        <v>31</v>
      </c>
    </row>
    <row r="1098" spans="1:5" x14ac:dyDescent="0.25">
      <c r="A1098">
        <v>16047</v>
      </c>
      <c r="B1098" t="s">
        <v>10</v>
      </c>
      <c r="C1098" t="s">
        <v>32</v>
      </c>
      <c r="D1098" t="str">
        <f>HYPERLINK("Https://www.gov.gr/ipiresies/polites-kai-kathemerinoteta/koinonike-aroge/eggraphe-sto-ethniko-kai-periphereiako-metroo-phoreon-koinonikes-phrontidas-idiotikou-tomea-me-kerdoskopikou-kharaktera","Εγγραφή στο Εθνικό και Περιφερειακό Μητρώο Φορέων Κοινωνικής Φροντίδας ιδιωτικού τομέα μη κερδοσκοπικού χαρακτήρα")</f>
        <v>Εγγραφή στο Εθνικό και Περιφερειακό Μητρώο Φορέων Κοινωνικής Φροντίδας ιδιωτικού τομέα μη κερδοσκοπικού χαρακτήρα</v>
      </c>
      <c r="E1098" t="s">
        <v>31</v>
      </c>
    </row>
    <row r="1099" spans="1:5" x14ac:dyDescent="0.25">
      <c r="A1099">
        <v>16051</v>
      </c>
      <c r="B1099" t="s">
        <v>10</v>
      </c>
      <c r="C1099" t="s">
        <v>32</v>
      </c>
      <c r="D1099" t="str">
        <f>HYPERLINK("Https://www.gov.gr/ipiresies/polites-kai-kathemerinoteta/koinonike-aroge/entole-exaleipses-upothekes-prosphugikes-idioktesias","Εντολή εξάλειψης υποθήκης προσφυγικής ιδιοκτησίας")</f>
        <v>Εντολή εξάλειψης υποθήκης προσφυγικής ιδιοκτησίας</v>
      </c>
      <c r="E1099" t="s">
        <v>31</v>
      </c>
    </row>
    <row r="1100" spans="1:5" x14ac:dyDescent="0.25">
      <c r="A1100">
        <v>16184</v>
      </c>
      <c r="B1100" t="s">
        <v>10</v>
      </c>
      <c r="C1100" t="s">
        <v>32</v>
      </c>
      <c r="D1100" t="str">
        <f>HYPERLINK("Https://www.gov.gr/ipiresies/polites-kai-kathemerinoteta/koinonike-aroge/paramone-stous-dikaioukhous-tou-koinonikou-pantopoleiou","Παραμονή στους δικαιούχους του Κοινωνικού Παντοπωλείου")</f>
        <v>Παραμονή στους δικαιούχους του Κοινωνικού Παντοπωλείου</v>
      </c>
      <c r="E1100" t="s">
        <v>34</v>
      </c>
    </row>
    <row r="1101" spans="1:5" x14ac:dyDescent="0.25">
      <c r="A1101">
        <v>16055</v>
      </c>
      <c r="B1101" t="s">
        <v>10</v>
      </c>
      <c r="C1101" t="s">
        <v>32</v>
      </c>
      <c r="D1101" t="str">
        <f>HYPERLINK("Https://www.gov.gr/ipiresies/polites-kai-kathemerinoteta/koinonike-aroge/parakhoreterio-prosphugikou-akinetou","Παραχωρητήριο προσφυγικού ακινήτου")</f>
        <v>Παραχωρητήριο προσφυγικού ακινήτου</v>
      </c>
      <c r="E1101" t="s">
        <v>31</v>
      </c>
    </row>
    <row r="1102" spans="1:5" x14ac:dyDescent="0.25">
      <c r="A1102">
        <v>16733</v>
      </c>
      <c r="B1102" t="s">
        <v>10</v>
      </c>
      <c r="C1102" t="s">
        <v>82</v>
      </c>
      <c r="D1102" t="str">
        <f>HYPERLINK("Https://www.gov.gr/ipiresies/polites-kai-kathemerinoteta/metakineseis/allage-khromatos-epibatikou-e-dikuklou-okhematos-idiotikes-khreses","Αλλαγή χρώματος επιβατικού ή δίκυκλου οχήματος ιδιωτικής χρήσης")</f>
        <v>Αλλαγή χρώματος επιβατικού ή δίκυκλου οχήματος ιδιωτικής χρήσης</v>
      </c>
      <c r="E1102" t="s">
        <v>83</v>
      </c>
    </row>
    <row r="1103" spans="1:5" x14ac:dyDescent="0.25">
      <c r="A1103">
        <v>16614</v>
      </c>
      <c r="B1103" t="s">
        <v>10</v>
      </c>
      <c r="C1103" t="s">
        <v>82</v>
      </c>
      <c r="D1103" t="str">
        <f>HYPERLINK("Https://www.gov.gr/ipiresies/polites-kai-kathemerinoteta/metakineseis/ananeose-adeias-odegeses","Ανανέωση άδειας οδήγησης")</f>
        <v>Ανανέωση άδειας οδήγησης</v>
      </c>
      <c r="E1103" t="s">
        <v>106</v>
      </c>
    </row>
    <row r="1104" spans="1:5" x14ac:dyDescent="0.25">
      <c r="A1104">
        <v>16612</v>
      </c>
      <c r="B1104" t="s">
        <v>10</v>
      </c>
      <c r="C1104" t="s">
        <v>82</v>
      </c>
      <c r="D1104" t="str">
        <f>HYPERLINK("Https://www.gov.gr/ipiresies/polites-kai-kathemerinoteta/metakineseis/antigrapho-adeias-kuklophorias-ikh-okhematos","Αντίγραφο άδειας κυκλοφορίας οχήματος")</f>
        <v>Αντίγραφο άδειας κυκλοφορίας οχήματος</v>
      </c>
      <c r="E1104" t="s">
        <v>106</v>
      </c>
    </row>
    <row r="1105" spans="1:5" x14ac:dyDescent="0.25">
      <c r="A1105">
        <v>15995</v>
      </c>
      <c r="B1105" t="s">
        <v>10</v>
      </c>
      <c r="C1105" t="s">
        <v>82</v>
      </c>
      <c r="D1105" t="str">
        <f>HYPERLINK("Https://www.gov.gr/ipiresies/polites-kai-kathemerinoteta/metakineseis/antigrapho-adeias-odegeses-logo-klopes-apoleias","Αντίγραφο άδειας οδήγησης λόγω κλοπής / απώλειας")</f>
        <v>Αντίγραφο άδειας οδήγησης λόγω κλοπής / απώλειας</v>
      </c>
      <c r="E1105" t="s">
        <v>106</v>
      </c>
    </row>
    <row r="1106" spans="1:5" x14ac:dyDescent="0.25">
      <c r="A1106">
        <v>15997</v>
      </c>
      <c r="B1106" t="s">
        <v>10</v>
      </c>
      <c r="C1106" t="s">
        <v>82</v>
      </c>
      <c r="D1106" t="str">
        <f>HYPERLINK("Https://www.gov.gr/ipiresies/polites-kai-kathemerinoteta/metakineseis/antigrapho-adeias-odegeses-logo-phthoras","Αντίγραφο άδειας οδήγησης λόγω φθοράς")</f>
        <v>Αντίγραφο άδειας οδήγησης λόγω φθοράς</v>
      </c>
      <c r="E1106" t="s">
        <v>106</v>
      </c>
    </row>
    <row r="1107" spans="1:5" x14ac:dyDescent="0.25">
      <c r="A1107">
        <v>15996</v>
      </c>
      <c r="B1107" t="s">
        <v>10</v>
      </c>
      <c r="C1107" t="s">
        <v>82</v>
      </c>
      <c r="D1107" t="str">
        <f>HYPERLINK("Https://www.gov.gr/ipiresies/polites-kai-kathemerinoteta/metakineseis/antikatastase-adeias-odegeses-me-neou-tupou","Αντικατάσταση άδειας οδήγησης με νέου τύπου")</f>
        <v>Αντικατάσταση άδειας οδήγησης με νέου τύπου</v>
      </c>
      <c r="E1107" t="s">
        <v>31</v>
      </c>
    </row>
    <row r="1108" spans="1:5" x14ac:dyDescent="0.25">
      <c r="A1108">
        <v>16734</v>
      </c>
      <c r="B1108" t="s">
        <v>10</v>
      </c>
      <c r="C1108" t="s">
        <v>82</v>
      </c>
      <c r="D1108" t="str">
        <f>HYPERLINK("Https://www.gov.gr/ipiresies/polites-kai-kathemerinoteta/metakineseis/arse-akinesias-gia-epanakuklophoria-phortegou-okhematos-idiotikes-khreses","Άρση ακινησίας για επανακυκλοφορία φορτηγού οχήματος ιδιωτικής χρήσης")</f>
        <v>Άρση ακινησίας για επανακυκλοφορία φορτηγού οχήματος ιδιωτικής χρήσης</v>
      </c>
      <c r="E1108" t="s">
        <v>83</v>
      </c>
    </row>
    <row r="1109" spans="1:5" x14ac:dyDescent="0.25">
      <c r="A1109">
        <v>16735</v>
      </c>
      <c r="B1109" t="s">
        <v>10</v>
      </c>
      <c r="C1109" t="s">
        <v>82</v>
      </c>
      <c r="D1109" t="str">
        <f>HYPERLINK("Https://www.gov.gr/ipiresies/polites-kai-kathemerinoteta/metakineseis/arse-parakrateses-kuriotetas-epibatikou-e-dikuklou-okhematos-idiotikes-khreses","Άρση παρακράτησης κυριότητας επιβατικού ή δικύκλου οχήματος ιδιωτικής χρήσης")</f>
        <v>Άρση παρακράτησης κυριότητας επιβατικού ή δικύκλου οχήματος ιδιωτικής χρήσης</v>
      </c>
      <c r="E1109" t="s">
        <v>83</v>
      </c>
    </row>
    <row r="1110" spans="1:5" x14ac:dyDescent="0.25">
      <c r="A1110">
        <v>15606</v>
      </c>
      <c r="B1110" t="s">
        <v>10</v>
      </c>
      <c r="C1110" t="s">
        <v>82</v>
      </c>
      <c r="D1110" t="str">
        <f>HYPERLINK("Https://www.gov.gr/ipiresies/polites-kai-kathemerinoteta/metakineseis/bebaiose-me-emplokes-se-aeroporiko-atukhema","Βεβαίωση μη εμπλοκής σε αεροπορικό ατύχημα")</f>
        <v>Βεβαίωση μη εμπλοκής σε αεροπορικό ατύχημα</v>
      </c>
      <c r="E1110" t="s">
        <v>141</v>
      </c>
    </row>
    <row r="1111" spans="1:5" x14ac:dyDescent="0.25">
      <c r="A1111">
        <v>15605</v>
      </c>
      <c r="B1111" t="s">
        <v>10</v>
      </c>
      <c r="C1111" t="s">
        <v>82</v>
      </c>
      <c r="D1111" t="str">
        <f>HYPERLINK("Https://www.gov.gr/ipiresies/polites-kai-kathemerinoteta/metakineseis/gnostopoiese-aeroporikou-atukhematos","Γνωστοποίηση αεροπορικού ατυχήματος")</f>
        <v>Γνωστοποίηση αεροπορικού ατυχήματος</v>
      </c>
      <c r="E1111" t="s">
        <v>141</v>
      </c>
    </row>
    <row r="1112" spans="1:5" x14ac:dyDescent="0.25">
      <c r="A1112">
        <v>16057</v>
      </c>
      <c r="B1112" t="s">
        <v>10</v>
      </c>
      <c r="C1112" t="s">
        <v>82</v>
      </c>
      <c r="D1112" t="str">
        <f>HYPERLINK("Https://www.gov.gr/ipiresies/polites-kai-kathemerinoteta/metakineseis/goniko-epidoma-gia-te-metaphora-mathete","Γονικό επίδομα για τη μεταφορά μαθητή")</f>
        <v>Γονικό επίδομα για τη μεταφορά μαθητή</v>
      </c>
      <c r="E1112" t="s">
        <v>31</v>
      </c>
    </row>
    <row r="1113" spans="1:5" x14ac:dyDescent="0.25">
      <c r="A1113">
        <v>16736</v>
      </c>
      <c r="B1113" t="s">
        <v>10</v>
      </c>
      <c r="C1113" t="s">
        <v>82</v>
      </c>
      <c r="D1113" t="str">
        <f>HYPERLINK("Https://www.gov.gr/ipiresies/polites-kai-kathemerinoteta/metakineseis/delose-egkatastases-apegkatastases-ugraeriokineses-se-epibatika-okhemata-idiotikes-khreses","Δήλωση εγκατάστασης / απεγκατάστασης υγραεριοκίνησης σε επιβατικά οχήματα ιδιωτικής χρήσης")</f>
        <v>Δήλωση εγκατάστασης / απεγκατάστασης υγραεριοκίνησης σε επιβατικά οχήματα ιδιωτικής χρήσης</v>
      </c>
      <c r="E1113" t="s">
        <v>83</v>
      </c>
    </row>
    <row r="1114" spans="1:5" x14ac:dyDescent="0.25">
      <c r="A1114">
        <v>15388</v>
      </c>
      <c r="B1114" t="s">
        <v>10</v>
      </c>
      <c r="C1114" t="s">
        <v>82</v>
      </c>
      <c r="D1114" t="str">
        <f>HYPERLINK("Https://www.gov.gr/ipiresies/polites-kai-kathemerinoteta/metakineseis/dieleuse-monimon-katoikon-apo-diodia","Διέλευση μόνιμων κατοίκων από διόδια")</f>
        <v>Διέλευση μόνιμων κατοίκων από διόδια</v>
      </c>
      <c r="E1114" t="s">
        <v>163</v>
      </c>
    </row>
    <row r="1115" spans="1:5" x14ac:dyDescent="0.25">
      <c r="A1115">
        <v>16738</v>
      </c>
      <c r="B1115" t="s">
        <v>10</v>
      </c>
      <c r="C1115" t="s">
        <v>82</v>
      </c>
      <c r="D1115" t="str">
        <f>HYPERLINK("Https://www.gov.gr/ipiresies/polites-kai-kathemerinoteta/metakineseis/ekdose-deltiou-stathmeuses-amea","Έκδοση δελτίου στάθμευσης ΑΜΕΑ")</f>
        <v>Έκδοση δελτίου στάθμευσης ΑΜΕΑ</v>
      </c>
      <c r="E1115" t="s">
        <v>83</v>
      </c>
    </row>
    <row r="1116" spans="1:5" x14ac:dyDescent="0.25">
      <c r="A1116">
        <v>16751</v>
      </c>
      <c r="B1116" t="s">
        <v>10</v>
      </c>
      <c r="C1116" t="s">
        <v>82</v>
      </c>
      <c r="D1116" t="str">
        <f>HYPERLINK("Https://www.gov.gr/ipiresies/polites-kai-kathemerinoteta/metakineseis/fuelpass","Ενίσχυση για την αντιμετώπιση της αύξησης κόστους καυσίμων (Fuel Pass)")</f>
        <v>Ενίσχυση για την αντιμετώπιση της αύξησης κόστους καυσίμων (Fuel Pass)</v>
      </c>
      <c r="E1116" t="s">
        <v>15</v>
      </c>
    </row>
    <row r="1117" spans="1:5" x14ac:dyDescent="0.25">
      <c r="A1117">
        <v>16023</v>
      </c>
      <c r="B1117" t="s">
        <v>10</v>
      </c>
      <c r="C1117" t="s">
        <v>82</v>
      </c>
      <c r="D1117" t="str">
        <f>HYPERLINK("Https://www.gov.gr/ipiresies/polites-kai-kathemerinoteta/metakineseis/kteniatriko-ugeionomiko-pistopoietiko-katoikidion-zoon-gia-metaphora-sto-exoteriko","Κτηνιατρικό υγειονομικό πιστοποιητικό κατοικίδιων ζώων για μεταφορά στο εξωτερικό")</f>
        <v>Κτηνιατρικό υγειονομικό πιστοποιητικό κατοικίδιων ζώων για μεταφορά στο εξωτερικό</v>
      </c>
      <c r="E1117" t="s">
        <v>31</v>
      </c>
    </row>
    <row r="1118" spans="1:5" x14ac:dyDescent="0.25">
      <c r="A1118">
        <v>16737</v>
      </c>
      <c r="B1118" t="s">
        <v>10</v>
      </c>
      <c r="C1118" t="s">
        <v>82</v>
      </c>
      <c r="D1118" t="str">
        <f>HYPERLINK("Https://www.gov.gr/ipiresies/polites-kai-kathemerinoteta/metakineseis/metabibase-enarithmou-okhematos-epibatikou-e-dikuklou-idiotikes-khreses-logo-kleronomias","Μεταβίβαση ενάριθμου οχήματος επιβατικού ή δικύκλου ιδιωτικής χρήσης λόγω κληρονομιάς")</f>
        <v>Μεταβίβαση ενάριθμου οχήματος επιβατικού ή δικύκλου ιδιωτικής χρήσης λόγω κληρονομιάς</v>
      </c>
      <c r="E1118" t="s">
        <v>83</v>
      </c>
    </row>
    <row r="1119" spans="1:5" x14ac:dyDescent="0.25">
      <c r="A1119">
        <v>16801</v>
      </c>
      <c r="B1119" t="s">
        <v>10</v>
      </c>
      <c r="C1119" t="s">
        <v>82</v>
      </c>
      <c r="D1119" t="str">
        <f>HYPERLINK("Https://www.gov.gr/ipiresies/polites-kai-kathemerinoteta/metakineseis/metabibase-okhematos-idiotikes-khreses-ikh","Μεταβίβαση οχήματος ιδιωτικής χρήσης (ΙΧ)")</f>
        <v>Μεταβίβαση οχήματος ιδιωτικής χρήσης (ΙΧ)</v>
      </c>
      <c r="E1119" t="s">
        <v>31</v>
      </c>
    </row>
    <row r="1120" spans="1:5" x14ac:dyDescent="0.25">
      <c r="A1120">
        <v>16613</v>
      </c>
      <c r="B1120" t="s">
        <v>10</v>
      </c>
      <c r="C1120" t="s">
        <v>82</v>
      </c>
      <c r="D1120" t="str">
        <f>HYPERLINK("Https://www.gov.gr/ipiresies/polites-kai-kathemerinoteta/metakineseis/opencar","Πληροφορίες οχημάτων")</f>
        <v>Πληροφορίες οχημάτων</v>
      </c>
      <c r="E1120" t="s">
        <v>59</v>
      </c>
    </row>
    <row r="1121" spans="1:5" x14ac:dyDescent="0.25">
      <c r="A1121">
        <v>15637</v>
      </c>
      <c r="B1121" t="s">
        <v>10</v>
      </c>
      <c r="C1121" t="s">
        <v>82</v>
      </c>
      <c r="D1121" t="str">
        <f>HYPERLINK("Https://www.gov.gr/ipiresies/polites-kai-kathemerinoteta/metakineseis/prosorine-adeia-odegeses","Προσωρινή άδεια οδήγησης")</f>
        <v>Προσωρινή άδεια οδήγησης</v>
      </c>
      <c r="E1121" t="s">
        <v>163</v>
      </c>
    </row>
    <row r="1122" spans="1:5" x14ac:dyDescent="0.25">
      <c r="A1122">
        <v>15784</v>
      </c>
      <c r="B1122" t="s">
        <v>10</v>
      </c>
      <c r="C1122" t="s">
        <v>82</v>
      </c>
      <c r="D1122" t="str">
        <f>HYPERLINK("Https://www.gov.gr/ipiresies/polites-kai-kathemerinoteta/metakineseis/sema-kuklophorias-entos-daktuliou-athenas","Σήμα κυκλοφορίας εντός δακτυλίου της Αθήνας")</f>
        <v>Σήμα κυκλοφορίας εντός δακτυλίου της Αθήνας</v>
      </c>
      <c r="E1122" t="s">
        <v>163</v>
      </c>
    </row>
    <row r="1123" spans="1:5" x14ac:dyDescent="0.25">
      <c r="A1123">
        <v>16729</v>
      </c>
      <c r="B1123" t="s">
        <v>10</v>
      </c>
      <c r="C1123" t="s">
        <v>82</v>
      </c>
      <c r="D1123" t="str">
        <f>HYPERLINK("Https://www.gov.gr/ipiresies/polites-kai-kathemerinoteta/metakineseis/upologismos-telon-gia-metabibase-epibatikou-e-dikuklou-ikh","Υπολογισμός τελών για μεταβίβαση επιβατικού ή δικύκλου ΙΧ")</f>
        <v>Υπολογισμός τελών για μεταβίβαση επιβατικού ή δικύκλου ΙΧ</v>
      </c>
      <c r="E1123" t="s">
        <v>163</v>
      </c>
    </row>
    <row r="1124" spans="1:5" x14ac:dyDescent="0.25">
      <c r="A1124">
        <v>15358</v>
      </c>
      <c r="B1124" t="s">
        <v>10</v>
      </c>
      <c r="C1124" t="s">
        <v>82</v>
      </c>
      <c r="D1124" t="str">
        <f>HYPERLINK("Https://www.gov.gr/ipiresies/polites-kai-kathemerinoteta/metakineseis/upologismos-khiliometrikon-apostaseon","Υπολογισμός χιλιομετρικών αποστάσεων")</f>
        <v>Υπολογισμός χιλιομετρικών αποστάσεων</v>
      </c>
      <c r="E1124" t="s">
        <v>163</v>
      </c>
    </row>
    <row r="1125" spans="1:5" x14ac:dyDescent="0.25">
      <c r="A1125">
        <v>16524</v>
      </c>
      <c r="B1125" t="s">
        <v>10</v>
      </c>
      <c r="C1125" t="s">
        <v>98</v>
      </c>
      <c r="D1125" t="str">
        <f>HYPERLINK("Https://www.gov.gr/ipiresies/polites-kai-kathemerinoteta/metaphraseis/anazetese-pistopoiemenou-metaphraste","Αναζήτηση πιστοποιημένου μεταφραστή")</f>
        <v>Αναζήτηση πιστοποιημένου μεταφραστή</v>
      </c>
      <c r="E1125" t="s">
        <v>99</v>
      </c>
    </row>
    <row r="1126" spans="1:5" x14ac:dyDescent="0.25">
      <c r="A1126">
        <v>16525</v>
      </c>
      <c r="B1126" t="s">
        <v>10</v>
      </c>
      <c r="C1126" t="s">
        <v>98</v>
      </c>
      <c r="D1126" t="str">
        <f>HYPERLINK("Https://www.gov.gr/ipiresies/polites-kai-kathemerinoteta/metaphraseis/katakhorese-stoikheion-metaphrases","Καταχώρηση στοιχείων μετάφρασης")</f>
        <v>Καταχώρηση στοιχείων μετάφρασης</v>
      </c>
      <c r="E1126" t="s">
        <v>99</v>
      </c>
    </row>
    <row r="1127" spans="1:5" x14ac:dyDescent="0.25">
      <c r="A1127">
        <v>15622</v>
      </c>
      <c r="B1127" t="s">
        <v>10</v>
      </c>
      <c r="C1127" t="s">
        <v>128</v>
      </c>
      <c r="D1127" t="str">
        <f>HYPERLINK("Https://www.gov.gr/ipiresies/polites-kai-kathemerinoteta/nomothesia-kai-apophaseis/apophaseis-tes-demosias-dioikeses-diaugeia","Αποφάσεις της δημόσιας διοίκησης (Διαύγεια)")</f>
        <v>Αποφάσεις της δημόσιας διοίκησης (Διαύγεια)</v>
      </c>
      <c r="E1127" t="s">
        <v>26</v>
      </c>
    </row>
    <row r="1128" spans="1:5" x14ac:dyDescent="0.25">
      <c r="A1128">
        <v>16443</v>
      </c>
      <c r="B1128" t="s">
        <v>10</v>
      </c>
      <c r="C1128" t="s">
        <v>128</v>
      </c>
      <c r="D1128" t="str">
        <f>HYPERLINK("Https://www.gov.gr/ipiresies/polites-kai-kathemerinoteta/nomothesia-kai-apophaseis/parokhe-plerophorion-apo-ten-apdpkh","Παροχή πληροφοριών από την Αρχή Προστασίας Δεδομένων")</f>
        <v>Παροχή πληροφοριών από την Αρχή Προστασίας Δεδομένων</v>
      </c>
      <c r="E1128" t="s">
        <v>45</v>
      </c>
    </row>
    <row r="1129" spans="1:5" x14ac:dyDescent="0.25">
      <c r="A1129">
        <v>15620</v>
      </c>
      <c r="B1129" t="s">
        <v>10</v>
      </c>
      <c r="C1129" t="s">
        <v>128</v>
      </c>
      <c r="D1129" t="str">
        <f>HYPERLINK("Https://www.gov.gr/ipiresies/polites-kai-kathemerinoteta/nomothesia-kai-apophaseis/phulla-ephemeridas-tes-kuberneses-phek","Φύλλα Εφημερίδας της Κυβέρνησης (ΦΕΚ)")</f>
        <v>Φύλλα Εφημερίδας της Κυβέρνησης (ΦΕΚ)</v>
      </c>
      <c r="E1129" t="s">
        <v>189</v>
      </c>
    </row>
    <row r="1130" spans="1:5" x14ac:dyDescent="0.25">
      <c r="A1130">
        <v>16527</v>
      </c>
      <c r="B1130" t="s">
        <v>10</v>
      </c>
      <c r="C1130" t="s">
        <v>16</v>
      </c>
      <c r="D1130" t="str">
        <f>HYPERLINK("Https://www.gov.gr/ipiresies/polites-kai-kathemerinoteta/periballon-kai-poioteta-zoes/aitese-epidoteses-gia-ten-agora-e-makrokhronia-misthose-elektrikou-okhematos-astupalaia","Aίτηση επιδότησης για την αγορά ή μακροχρόνια μίσθωση ηλεκτρικού οχήματος (Αστυπάλαια)")</f>
        <v>Aίτηση επιδότησης για την αγορά ή μακροχρόνια μίσθωση ηλεκτρικού οχήματος (Αστυπάλαια)</v>
      </c>
      <c r="E1130" t="s">
        <v>17</v>
      </c>
    </row>
    <row r="1131" spans="1:5" x14ac:dyDescent="0.25">
      <c r="A1131">
        <v>15666</v>
      </c>
      <c r="B1131" t="s">
        <v>10</v>
      </c>
      <c r="C1131" t="s">
        <v>16</v>
      </c>
      <c r="D1131" t="str">
        <f>HYPERLINK("Https://www.gov.gr/ipiresies/polites-kai-kathemerinoteta/periballon-kai-poioteta-zoes/aitema-erotema-anaphora-gia-themata-aktinobolion","Αίτημα / ερώτημα / αναφορά για θέματα ακτινοβολιών")</f>
        <v>Αίτημα / ερώτημα / αναφορά για θέματα ακτινοβολιών</v>
      </c>
      <c r="E1131" t="s">
        <v>43</v>
      </c>
    </row>
    <row r="1132" spans="1:5" x14ac:dyDescent="0.25">
      <c r="A1132">
        <v>15832</v>
      </c>
      <c r="B1132" t="s">
        <v>10</v>
      </c>
      <c r="C1132" t="s">
        <v>16</v>
      </c>
      <c r="D1132" t="str">
        <f>HYPERLINK("Https://www.gov.gr/ipiresies/polites-kai-kathemerinoteta/periballon-kai-poioteta-zoes/anazetese-energeiakon-epitheoreton-kai-elegkton","Αναζήτηση ενεργειακών επιθεωρητών και ελεγκτών")</f>
        <v>Αναζήτηση ενεργειακών επιθεωρητών και ελεγκτών</v>
      </c>
      <c r="E1132" t="s">
        <v>17</v>
      </c>
    </row>
    <row r="1133" spans="1:5" x14ac:dyDescent="0.25">
      <c r="A1133">
        <v>15788</v>
      </c>
      <c r="B1133" t="s">
        <v>10</v>
      </c>
      <c r="C1133" t="s">
        <v>16</v>
      </c>
      <c r="D1133" t="str">
        <f>HYPERLINK("Https://www.gov.gr/ipiresies/polites-kai-kathemerinoteta/periballon-kai-poioteta-zoes/geopule-inspire","Γεωπύλη Inspire")</f>
        <v>Γεωπύλη Inspire</v>
      </c>
      <c r="E1133" t="s">
        <v>17</v>
      </c>
    </row>
    <row r="1134" spans="1:5" x14ac:dyDescent="0.25">
      <c r="A1134">
        <v>15791</v>
      </c>
      <c r="B1134" t="s">
        <v>10</v>
      </c>
      <c r="C1134" t="s">
        <v>16</v>
      </c>
      <c r="D1134" t="str">
        <f>HYPERLINK("Https://www.gov.gr/ipiresies/polites-kai-kathemerinoteta/periballon-kai-poioteta-zoes/geokhorikes-plerophories-periballontos-kai-energeias","Γεωχωρικές πληροφορίες περιβάλλοντος και ενέργειας")</f>
        <v>Γεωχωρικές πληροφορίες περιβάλλοντος και ενέργειας</v>
      </c>
      <c r="E1134" t="s">
        <v>17</v>
      </c>
    </row>
    <row r="1135" spans="1:5" x14ac:dyDescent="0.25">
      <c r="A1135">
        <v>15787</v>
      </c>
      <c r="B1135" t="s">
        <v>10</v>
      </c>
      <c r="C1135" t="s">
        <v>16</v>
      </c>
      <c r="D1135" t="str">
        <f>HYPERLINK("Https://www.gov.gr/ipiresies/polites-kai-kathemerinoteta/periballon-kai-poioteta-zoes/deltia-atmosphairikes-rupanses","Δελτία ατμοσφαιρικής ρύπανσης")</f>
        <v>Δελτία ατμοσφαιρικής ρύπανσης</v>
      </c>
      <c r="E1135" t="s">
        <v>17</v>
      </c>
    </row>
    <row r="1136" spans="1:5" x14ac:dyDescent="0.25">
      <c r="A1136">
        <v>15786</v>
      </c>
      <c r="B1136" t="s">
        <v>10</v>
      </c>
      <c r="C1136" t="s">
        <v>16</v>
      </c>
      <c r="D1136" t="str">
        <f>HYPERLINK("Https://www.gov.gr/ipiresies/polites-kai-kathemerinoteta/periballon-kai-poioteta-zoes/egkatastaseis-epexergasias-lumaton","Εγκαταστάσεις επεξεργασίας λυμάτων")</f>
        <v>Εγκαταστάσεις επεξεργασίας λυμάτων</v>
      </c>
      <c r="E1136" t="s">
        <v>17</v>
      </c>
    </row>
    <row r="1137" spans="1:5" x14ac:dyDescent="0.25">
      <c r="A1137">
        <v>15831</v>
      </c>
      <c r="B1137" t="s">
        <v>10</v>
      </c>
      <c r="C1137" t="s">
        <v>16</v>
      </c>
      <c r="D1137" t="str">
        <f>HYPERLINK("Https://www.gov.gr/ipiresies/polites-kai-kathemerinoteta/periballon-kai-poioteta-zoes/energeiake-apodose-ktirion","Ενεργειακή απόδοση κτιρίων")</f>
        <v>Ενεργειακή απόδοση κτιρίων</v>
      </c>
      <c r="E1137" t="s">
        <v>17</v>
      </c>
    </row>
    <row r="1138" spans="1:5" x14ac:dyDescent="0.25">
      <c r="A1138">
        <v>15670</v>
      </c>
      <c r="B1138" t="s">
        <v>10</v>
      </c>
      <c r="C1138" t="s">
        <v>16</v>
      </c>
      <c r="D1138" t="str">
        <f>HYPERLINK("Https://www.gov.gr/ipiresies/polites-kai-kathemerinoteta/periballon-kai-poioteta-zoes/epipeda-radienergeias-sto-periballon","Επίπεδα ραδιενέργειας στο περιβάλλον")</f>
        <v>Επίπεδα ραδιενέργειας στο περιβάλλον</v>
      </c>
      <c r="E1138" t="s">
        <v>43</v>
      </c>
    </row>
    <row r="1139" spans="1:5" x14ac:dyDescent="0.25">
      <c r="A1139">
        <v>15774</v>
      </c>
      <c r="B1139" t="s">
        <v>10</v>
      </c>
      <c r="C1139" t="s">
        <v>16</v>
      </c>
      <c r="D1139" t="str">
        <f>HYPERLINK("Https://www.gov.gr/ipiresies/polites-kai-kathemerinoteta/periballon-kai-poioteta-zoes/kinoumai-elektrika","Κινούμαι ηλεκτρικά")</f>
        <v>Κινούμαι ηλεκτρικά</v>
      </c>
      <c r="E1139" t="s">
        <v>17</v>
      </c>
    </row>
    <row r="1140" spans="1:5" x14ac:dyDescent="0.25">
      <c r="A1140">
        <v>16777</v>
      </c>
      <c r="B1140" t="s">
        <v>10</v>
      </c>
      <c r="C1140" t="s">
        <v>16</v>
      </c>
      <c r="D1140" t="str">
        <f>HYPERLINK("Https://www.gov.gr/ipiresies/polites-kai-kathemerinoteta/periballon-kai-poioteta-zoes/kinoumai-elektrika-ii","Κινούμαι ηλεκτρικά ΙΙ")</f>
        <v>Κινούμαι ηλεκτρικά ΙΙ</v>
      </c>
      <c r="E1140" t="s">
        <v>17</v>
      </c>
    </row>
    <row r="1141" spans="1:5" x14ac:dyDescent="0.25">
      <c r="A1141">
        <v>15669</v>
      </c>
      <c r="B1141" t="s">
        <v>10</v>
      </c>
      <c r="C1141" t="s">
        <v>16</v>
      </c>
      <c r="D1141" t="str">
        <f>HYPERLINK("Https://www.gov.gr/ipiresies/polites-kai-kathemerinoteta/periballon-kai-poioteta-zoes/metreseis-elektromagnetikes-aktinobolias-keraion","Μετρήσεις ηλεκτρομαγνητικής ακτινοβολίας κεραιών")</f>
        <v>Μετρήσεις ηλεκτρομαγνητικής ακτινοβολίας κεραιών</v>
      </c>
      <c r="E1141" t="s">
        <v>43</v>
      </c>
    </row>
    <row r="1142" spans="1:5" x14ac:dyDescent="0.25">
      <c r="A1142">
        <v>16167</v>
      </c>
      <c r="B1142" t="s">
        <v>10</v>
      </c>
      <c r="C1142" t="s">
        <v>16</v>
      </c>
      <c r="D1142" t="str">
        <f>HYPERLINK("Https://www.gov.gr/ipiresies/polites-kai-kathemerinoteta/periballon-kai-poioteta-zoes/sema-dorean-stathmeuses-elektrokinetou-okhematos","Σήμα δωρεάν στάθμευσης ηλεκτροκίνητου οχήματος")</f>
        <v>Σήμα δωρεάν στάθμευσης ηλεκτροκίνητου οχήματος</v>
      </c>
      <c r="E1142" t="s">
        <v>17</v>
      </c>
    </row>
    <row r="1143" spans="1:5" x14ac:dyDescent="0.25">
      <c r="A1143">
        <v>15173</v>
      </c>
      <c r="B1143" t="s">
        <v>10</v>
      </c>
      <c r="C1143" t="s">
        <v>179</v>
      </c>
      <c r="D1143" t="str">
        <f>HYPERLINK("Https://www.gov.gr/ipiresies/polites-kai-kathemerinoteta/pleromes-kai-parabola/elektroniko-parabolo-e-parabolo","Ηλεκτρονικό παράβολο (e-Παράβολο)")</f>
        <v>Ηλεκτρονικό παράβολο (e-Παράβολο)</v>
      </c>
      <c r="E1143" t="s">
        <v>59</v>
      </c>
    </row>
    <row r="1144" spans="1:5" x14ac:dyDescent="0.25">
      <c r="A1144">
        <v>15819</v>
      </c>
      <c r="B1144" t="s">
        <v>10</v>
      </c>
      <c r="C1144" t="s">
        <v>11</v>
      </c>
      <c r="D1144" t="str">
        <f>HYPERLINK("Https://www.gov.gr/ipiresies/polites-kai-kathemerinoteta/polites-allon-kraton/aitese-gia-nomike-sundrome","Aίτηση για νομική συνδρομή")</f>
        <v>Aίτηση για νομική συνδρομή</v>
      </c>
      <c r="E1144" t="s">
        <v>12</v>
      </c>
    </row>
    <row r="1145" spans="1:5" x14ac:dyDescent="0.25">
      <c r="A1145">
        <v>15373</v>
      </c>
      <c r="B1145" t="s">
        <v>10</v>
      </c>
      <c r="C1145" t="s">
        <v>11</v>
      </c>
      <c r="D1145" t="str">
        <f>HYPERLINK("Https://www.gov.gr/ipiresies/polites-kai-kathemerinoteta/polites-allon-kraton/adeia-diamones-eniaiou-tupou-adet-se-omogeneis-apo-tourkia","Άδεια Διαμονής Ενιαίου Τύπου (ΑΔΕΤ) σε ομογενείς από Τουρκία")</f>
        <v>Άδεια Διαμονής Ενιαίου Τύπου (ΑΔΕΤ) σε ομογενείς από Τουρκία</v>
      </c>
      <c r="E1145" t="s">
        <v>29</v>
      </c>
    </row>
    <row r="1146" spans="1:5" x14ac:dyDescent="0.25">
      <c r="A1146">
        <v>15812</v>
      </c>
      <c r="B1146" t="s">
        <v>10</v>
      </c>
      <c r="C1146" t="s">
        <v>11</v>
      </c>
      <c r="D1146" t="str">
        <f>HYPERLINK("Https://www.gov.gr/ipiresies/polites-kai-kathemerinoteta/polites-allon-kraton/aitese-allages-stoikheion-epikoinonias","Αίτηση αλλαγής στοιχείων επικοινωνίας")</f>
        <v>Αίτηση αλλαγής στοιχείων επικοινωνίας</v>
      </c>
      <c r="E1146" t="s">
        <v>12</v>
      </c>
    </row>
    <row r="1147" spans="1:5" x14ac:dyDescent="0.25">
      <c r="A1147">
        <v>15813</v>
      </c>
      <c r="B1147" t="s">
        <v>10</v>
      </c>
      <c r="C1147" t="s">
        <v>11</v>
      </c>
      <c r="D1147" t="str">
        <f>HYPERLINK("Https://www.gov.gr/ipiresies/polites-kai-kathemerinoteta/polites-allon-kraton/aitese-allages-stoikheion-tautotetas","Αίτηση αλλαγής στοιχείων ταυτότητας")</f>
        <v>Αίτηση αλλαγής στοιχείων ταυτότητας</v>
      </c>
      <c r="E1147" t="s">
        <v>12</v>
      </c>
    </row>
    <row r="1148" spans="1:5" x14ac:dyDescent="0.25">
      <c r="A1148">
        <v>15814</v>
      </c>
      <c r="B1148" t="s">
        <v>10</v>
      </c>
      <c r="C1148" t="s">
        <v>11</v>
      </c>
      <c r="D1148" t="str">
        <f>HYPERLINK("Https://www.gov.gr/ipiresies/polites-kai-kathemerinoteta/polites-allon-kraton/aitese-anaboles-epispeuses-sunenteuxes","Αίτηση αναβολής / επίσπευσης συνέντευξης")</f>
        <v>Αίτηση αναβολής / επίσπευσης συνέντευξης</v>
      </c>
      <c r="E1148" t="s">
        <v>12</v>
      </c>
    </row>
    <row r="1149" spans="1:5" x14ac:dyDescent="0.25">
      <c r="A1149">
        <v>15811</v>
      </c>
      <c r="B1149" t="s">
        <v>10</v>
      </c>
      <c r="C1149" t="s">
        <v>11</v>
      </c>
      <c r="D1149" t="str">
        <f>HYPERLINK("Https://www.gov.gr/ipiresies/polites-kai-kathemerinoteta/polites-allon-kraton/aitese-autokatagraphes","Αίτηση αυτοκαταγραφής")</f>
        <v>Αίτηση αυτοκαταγραφής</v>
      </c>
      <c r="E1149" t="s">
        <v>12</v>
      </c>
    </row>
    <row r="1150" spans="1:5" x14ac:dyDescent="0.25">
      <c r="A1150">
        <v>15816</v>
      </c>
      <c r="B1150" t="s">
        <v>10</v>
      </c>
      <c r="C1150" t="s">
        <v>11</v>
      </c>
      <c r="D1150" t="str">
        <f>HYPERLINK("Https://www.gov.gr/ipiresies/polites-kai-kathemerinoteta/polites-allon-kraton/aitese-diakhorismou-phakelon","Αίτηση διαχωρισμού φακέλων")</f>
        <v>Αίτηση διαχωρισμού φακέλων</v>
      </c>
      <c r="E1150" t="s">
        <v>12</v>
      </c>
    </row>
    <row r="1151" spans="1:5" x14ac:dyDescent="0.25">
      <c r="A1151">
        <v>15817</v>
      </c>
      <c r="B1151" t="s">
        <v>10</v>
      </c>
      <c r="C1151" t="s">
        <v>11</v>
      </c>
      <c r="D1151" t="str">
        <f>HYPERLINK("Https://www.gov.gr/ipiresies/polites-kai-kathemerinoteta/polites-allon-kraton/aitese-katatheses-eggraphon","Αίτηση κατάθεσης εγγράφων")</f>
        <v>Αίτηση κατάθεσης εγγράφων</v>
      </c>
      <c r="E1151" t="s">
        <v>12</v>
      </c>
    </row>
    <row r="1152" spans="1:5" x14ac:dyDescent="0.25">
      <c r="A1152">
        <v>15818</v>
      </c>
      <c r="B1152" t="s">
        <v>10</v>
      </c>
      <c r="C1152" t="s">
        <v>11</v>
      </c>
      <c r="D1152" t="str">
        <f>HYPERLINK("Https://www.gov.gr/ipiresies/polites-kai-kathemerinoteta/polites-allon-kraton/aitese-khoregeses-antigraphon","Αίτηση χορήγησης αντιγράφων")</f>
        <v>Αίτηση χορήγησης αντιγράφων</v>
      </c>
      <c r="E1152" t="s">
        <v>12</v>
      </c>
    </row>
    <row r="1153" spans="1:5" x14ac:dyDescent="0.25">
      <c r="A1153">
        <v>16597</v>
      </c>
      <c r="B1153" t="s">
        <v>10</v>
      </c>
      <c r="C1153" t="s">
        <v>11</v>
      </c>
      <c r="D1153" t="str">
        <f>HYPERLINK("Https://www.gov.gr/ipiresies/polites-kai-kathemerinoteta/polites-allon-kraton/ananeose-adeion-diamones-deltion-diamones-politon-triton-khoron","Ανανέωση αδειών διαμονής / δελτίων διαμονής πολιτών τρίτων χωρών")</f>
        <v>Ανανέωση αδειών διαμονής / δελτίων διαμονής πολιτών τρίτων χωρών</v>
      </c>
      <c r="E1153" t="s">
        <v>12</v>
      </c>
    </row>
    <row r="1154" spans="1:5" x14ac:dyDescent="0.25">
      <c r="A1154">
        <v>15237</v>
      </c>
      <c r="B1154" t="s">
        <v>10</v>
      </c>
      <c r="C1154" t="s">
        <v>11</v>
      </c>
      <c r="D1154" t="str">
        <f>HYPERLINK("Https://www.gov.gr/ipiresies/polites-kai-kathemerinoteta/polites-allon-kraton/apotelesmata-exetaseon-pistopoieses-tes-ellenomatheias-tou-kentrou-ellenikes-glossas","Αποτελέσματα εξετάσεων πιστοποίησης της ελληνομάθειας του Κέντρου Ελληνικής Γλώσσας")</f>
        <v>Αποτελέσματα εξετάσεων πιστοποίησης της ελληνομάθειας του Κέντρου Ελληνικής Γλώσσας</v>
      </c>
      <c r="E1154" t="s">
        <v>127</v>
      </c>
    </row>
    <row r="1155" spans="1:5" x14ac:dyDescent="0.25">
      <c r="A1155">
        <v>15259</v>
      </c>
      <c r="B1155" t="s">
        <v>10</v>
      </c>
      <c r="C1155" t="s">
        <v>11</v>
      </c>
      <c r="D1155" t="str">
        <f>HYPERLINK("Https://www.gov.gr/ipiresies/polites-kai-kathemerinoteta/polites-allon-kraton/bebaiose-daktuloskopeses","Βεβαίωση δακτυλοσκόπησης")</f>
        <v>Βεβαίωση δακτυλοσκόπησης</v>
      </c>
      <c r="E1155" t="s">
        <v>29</v>
      </c>
    </row>
    <row r="1156" spans="1:5" x14ac:dyDescent="0.25">
      <c r="A1156">
        <v>15366</v>
      </c>
      <c r="B1156" t="s">
        <v>10</v>
      </c>
      <c r="C1156" t="s">
        <v>11</v>
      </c>
      <c r="D1156" t="str">
        <f>HYPERLINK("Https://www.gov.gr/ipiresies/polites-kai-kathemerinoteta/polites-allon-kraton/bebaiose-eggraphes-melon-oikogeneias-polite-kratous-melous-tes-ee","Βεβαίωση εγγραφής μελών οικογένειας πολίτη κράτους μέλους της ΕΕ")</f>
        <v>Βεβαίωση εγγραφής μελών οικογένειας πολίτη κράτους μέλους της ΕΕ</v>
      </c>
      <c r="E1156" t="s">
        <v>29</v>
      </c>
    </row>
    <row r="1157" spans="1:5" x14ac:dyDescent="0.25">
      <c r="A1157">
        <v>15367</v>
      </c>
      <c r="B1157" t="s">
        <v>10</v>
      </c>
      <c r="C1157" t="s">
        <v>11</v>
      </c>
      <c r="D1157" t="str">
        <f>HYPERLINK("Https://www.gov.gr/ipiresies/polites-kai-kathemerinoteta/polites-allon-kraton/bebaiose-eggraphes-politon-kratous-melous-tes-ee-gia-loipous-logous","Βεβαίωση εγγραφής πολιτών κράτους μέλους της ΕΕ για λοιπούς λόγους")</f>
        <v>Βεβαίωση εγγραφής πολιτών κράτους μέλους της ΕΕ για λοιπούς λόγους</v>
      </c>
      <c r="E1157" t="s">
        <v>29</v>
      </c>
    </row>
    <row r="1158" spans="1:5" x14ac:dyDescent="0.25">
      <c r="A1158">
        <v>15815</v>
      </c>
      <c r="B1158" t="s">
        <v>10</v>
      </c>
      <c r="C1158" t="s">
        <v>11</v>
      </c>
      <c r="D1158" t="str">
        <f>HYPERLINK("Https://www.gov.gr/ipiresies/polites-kai-kathemerinoteta/polites-allon-kraton/bebaiose-katastases-aitematos","Βεβαίωση κατάστασης αιτήματος")</f>
        <v>Βεβαίωση κατάστασης αιτήματος</v>
      </c>
      <c r="E1158" t="s">
        <v>12</v>
      </c>
    </row>
    <row r="1159" spans="1:5" x14ac:dyDescent="0.25">
      <c r="A1159">
        <v>16229</v>
      </c>
      <c r="B1159" t="s">
        <v>10</v>
      </c>
      <c r="C1159" t="s">
        <v>11</v>
      </c>
      <c r="D1159" t="str">
        <f>HYPERLINK("Https://www.gov.gr/ipiresies/polites-kai-kathemerinoteta/polites-allon-kraton/bebaiose-paratases-iskhuos-adeias-diamones-gia-polites-triton-khoron","Βεβαίωση παράτασης ισχύος άδειας διαμονής για πολίτες τρίτων χωρών")</f>
        <v>Βεβαίωση παράτασης ισχύος άδειας διαμονής για πολίτες τρίτων χωρών</v>
      </c>
      <c r="E1159" t="s">
        <v>12</v>
      </c>
    </row>
    <row r="1160" spans="1:5" x14ac:dyDescent="0.25">
      <c r="A1160">
        <v>15206</v>
      </c>
      <c r="B1160" t="s">
        <v>10</v>
      </c>
      <c r="C1160" t="s">
        <v>11</v>
      </c>
      <c r="D1160" t="str">
        <f>HYPERLINK("Https://www.gov.gr/ipiresies/polites-kai-kathemerinoteta/polites-allon-kraton/gnostopoiese-katakhorises-sto-sustema-plerophorion-sengken","Γνωστοποίηση καταχώρισης στο σύστημα πληροφοριών ΣΕΝΓΚΕΝ")</f>
        <v>Γνωστοποίηση καταχώρισης στο σύστημα πληροφοριών ΣΕΝΓΚΕΝ</v>
      </c>
      <c r="E1160" t="s">
        <v>29</v>
      </c>
    </row>
    <row r="1161" spans="1:5" x14ac:dyDescent="0.25">
      <c r="A1161">
        <v>15207</v>
      </c>
      <c r="B1161" t="s">
        <v>10</v>
      </c>
      <c r="C1161" t="s">
        <v>11</v>
      </c>
      <c r="D1161" t="str">
        <f>HYPERLINK("Https://www.gov.gr/ipiresies/polites-kai-kathemerinoteta/polites-allon-kraton/ethelontike-proeggraphe-elektronikes-anagnorises","Εθελοντική προεγγραφή ηλεκτρονικής αναγνώρισης")</f>
        <v>Εθελοντική προεγγραφή ηλεκτρονικής αναγνώρισης</v>
      </c>
      <c r="E1161" t="s">
        <v>29</v>
      </c>
    </row>
    <row r="1162" spans="1:5" x14ac:dyDescent="0.25">
      <c r="A1162">
        <v>15370</v>
      </c>
      <c r="B1162" t="s">
        <v>10</v>
      </c>
      <c r="C1162" t="s">
        <v>11</v>
      </c>
      <c r="D1162" t="str">
        <f>HYPERLINK("Https://www.gov.gr/ipiresies/polites-kai-kathemerinoteta/polites-allon-kraton/eidiko-deltio-tautotetas-omogenous-edto-apo-albania","Ειδικό Δελτίο Ταυτότητας Ομογενούς (ΕΔΤΟ) από Αλβανία")</f>
        <v>Ειδικό Δελτίο Ταυτότητας Ομογενούς (ΕΔΤΟ) από Αλβανία</v>
      </c>
      <c r="E1162" t="s">
        <v>29</v>
      </c>
    </row>
    <row r="1163" spans="1:5" x14ac:dyDescent="0.25">
      <c r="A1163">
        <v>15374</v>
      </c>
      <c r="B1163" t="s">
        <v>10</v>
      </c>
      <c r="C1163" t="s">
        <v>11</v>
      </c>
      <c r="D1163" t="str">
        <f>HYPERLINK("Https://www.gov.gr/ipiresies/polites-kai-kathemerinoteta/polites-allon-kraton/eidiko-deltio-tautotetas-omogenous-edto-apo-tourkia","Ειδικό Δελτίο Ταυτότητας Ομογενούς (ΕΔΤΟ) από Τουρκία")</f>
        <v>Ειδικό Δελτίο Ταυτότητας Ομογενούς (ΕΔΤΟ) από Τουρκία</v>
      </c>
      <c r="E1163" t="s">
        <v>29</v>
      </c>
    </row>
    <row r="1164" spans="1:5" x14ac:dyDescent="0.25">
      <c r="A1164">
        <v>15371</v>
      </c>
      <c r="B1164" t="s">
        <v>10</v>
      </c>
      <c r="C1164" t="s">
        <v>11</v>
      </c>
      <c r="D1164" t="str">
        <f>HYPERLINK("Https://www.gov.gr/ipiresies/polites-kai-kathemerinoteta/polites-allon-kraton/eidiko-deltio-tautotetas-omogenous-edto-apo-khores-tes-t-essd","Ειδικό Δελτίο Ταυτότητας Ομογενούς (ΕΔΤΟ) από χώρες της τ. ΕΣΣΔ")</f>
        <v>Ειδικό Δελτίο Ταυτότητας Ομογενούς (ΕΔΤΟ) από χώρες της τ. ΕΣΣΔ</v>
      </c>
      <c r="E1164" t="s">
        <v>29</v>
      </c>
    </row>
    <row r="1165" spans="1:5" x14ac:dyDescent="0.25">
      <c r="A1165">
        <v>15372</v>
      </c>
      <c r="B1165" t="s">
        <v>10</v>
      </c>
      <c r="C1165" t="s">
        <v>11</v>
      </c>
      <c r="D1165" t="str">
        <f>HYPERLINK("Https://www.gov.gr/ipiresies/polites-kai-kathemerinoteta/polites-allon-kraton/eidiko-taxidiotiko-eggrapho-t-dv-tes-sumbases-tes-geneues-tou-1951","Ειδικό ταξιδιωτικό έγγραφο (T.DV) της Σύμβασης της Γενεύης του 1951")</f>
        <v>Ειδικό ταξιδιωτικό έγγραφο (T.DV) της Σύμβασης της Γενεύης του 1951</v>
      </c>
      <c r="E1165" t="s">
        <v>29</v>
      </c>
    </row>
    <row r="1166" spans="1:5" x14ac:dyDescent="0.25">
      <c r="A1166">
        <v>15364</v>
      </c>
      <c r="B1166" t="s">
        <v>10</v>
      </c>
      <c r="C1166" t="s">
        <v>11</v>
      </c>
      <c r="D1166" t="str">
        <f>HYPERLINK("Https://www.gov.gr/ipiresies/polites-kai-kathemerinoteta/polites-allon-kraton/ekdose-ananeose-adeias-paramones-allodapou-se-kathestos-diethnous-prostasias","Έκδοση / ανανέωση άδειας παραμονής αλλοδαπού σε καθεστώς διεθνούς προστασίας")</f>
        <v>Έκδοση / ανανέωση άδειας παραμονής αλλοδαπού σε καθεστώς διεθνούς προστασίας</v>
      </c>
      <c r="E1166" t="s">
        <v>29</v>
      </c>
    </row>
    <row r="1167" spans="1:5" x14ac:dyDescent="0.25">
      <c r="A1167">
        <v>15365</v>
      </c>
      <c r="B1167" t="s">
        <v>10</v>
      </c>
      <c r="C1167" t="s">
        <v>11</v>
      </c>
      <c r="D1167" t="str">
        <f>HYPERLINK("Https://www.gov.gr/ipiresies/polites-kai-kathemerinoteta/polites-allon-kraton/ekdose-ananeose-prosorines-adeias-eisodou-ste-khora-gia-logous-ektaktes-anagkes","Έκδοση / ανανέωση προσωρινής άδειας εισόδου στη χώρα για λόγους έκτακτης ανάγκης")</f>
        <v>Έκδοση / ανανέωση προσωρινής άδειας εισόδου στη χώρα για λόγους έκτακτης ανάγκης</v>
      </c>
      <c r="E1167" t="s">
        <v>29</v>
      </c>
    </row>
    <row r="1168" spans="1:5" x14ac:dyDescent="0.25">
      <c r="A1168">
        <v>16341</v>
      </c>
      <c r="B1168" t="s">
        <v>10</v>
      </c>
      <c r="C1168" t="s">
        <v>11</v>
      </c>
      <c r="D1168" t="str">
        <f>HYPERLINK("Https://www.gov.gr/ipiresies/polites-kai-kathemerinoteta/polites-allon-kraton/elegkhos-apodoses-arithmou-phorologikou-metroou-se-katokhous-deltiou-aitountos-diethne-prostasia-dadp","Έλεγχος απόδοσης Αριθμού Φορολογικού Μητρώου σε κατόχους Δελτίου Αιτούντος Διεθνή Προστασία (ΔΑΔΠ)")</f>
        <v>Έλεγχος απόδοσης Αριθμού Φορολογικού Μητρώου σε κατόχους Δελτίου Αιτούντος Διεθνή Προστασία (ΔΑΔΠ)</v>
      </c>
      <c r="E1168" t="s">
        <v>12</v>
      </c>
    </row>
    <row r="1169" spans="1:5" x14ac:dyDescent="0.25">
      <c r="A1169">
        <v>15693</v>
      </c>
      <c r="B1169" t="s">
        <v>10</v>
      </c>
      <c r="C1169" t="s">
        <v>11</v>
      </c>
      <c r="D1169" t="str">
        <f>HYPERLINK("Https://www.gov.gr/ipiresies/polites-kai-kathemerinoteta/polites-allon-kraton/eurese-prosorinou-arithmou-asphalises-kai-ugeionomikes-perithalpses-allodapou-paaupa","Εύρεση Προσωρινού Αριθμού Ασφάλισης και Υγειονομικής Περίθαλψης Αλλοδαπού (ΠΑΑΥΠΑ)")</f>
        <v>Εύρεση Προσωρινού Αριθμού Ασφάλισης και Υγειονομικής Περίθαλψης Αλλοδαπού (ΠΑΑΥΠΑ)</v>
      </c>
      <c r="E1169" t="s">
        <v>12</v>
      </c>
    </row>
    <row r="1170" spans="1:5" x14ac:dyDescent="0.25">
      <c r="A1170">
        <v>15810</v>
      </c>
      <c r="B1170" t="s">
        <v>10</v>
      </c>
      <c r="C1170" t="s">
        <v>11</v>
      </c>
      <c r="D1170" t="str">
        <f>HYPERLINK("Https://www.gov.gr/ipiresies/polites-kai-kathemerinoteta/polites-allon-kraton/emeromenia-ananeoses-deltion-aitounton-diethnous-prostasias","Ημερομηνία ανανέωσης δελτίων αιτούντων διεθνούς προστασίας")</f>
        <v>Ημερομηνία ανανέωσης δελτίων αιτούντων διεθνούς προστασίας</v>
      </c>
      <c r="E1170" t="s">
        <v>12</v>
      </c>
    </row>
    <row r="1171" spans="1:5" x14ac:dyDescent="0.25">
      <c r="A1171">
        <v>15625</v>
      </c>
      <c r="B1171" t="s">
        <v>10</v>
      </c>
      <c r="C1171" t="s">
        <v>11</v>
      </c>
      <c r="D1171" t="str">
        <f>HYPERLINK("Https://www.gov.gr/ipiresies/polites-kai-kathemerinoteta/polites-allon-kraton/metroo-ellenikon-kai-xenon-me-kubernetikon-organoseon-mko","Μητρώο Ελληνικών και ξένων Μη Κυβερνητικών Οργανώσεων (ΜΚΟ)")</f>
        <v>Μητρώο Ελληνικών και ξένων Μη Κυβερνητικών Οργανώσεων (ΜΚΟ)</v>
      </c>
      <c r="E1171" t="s">
        <v>12</v>
      </c>
    </row>
    <row r="1172" spans="1:5" x14ac:dyDescent="0.25">
      <c r="A1172">
        <v>15376</v>
      </c>
      <c r="B1172" t="s">
        <v>10</v>
      </c>
      <c r="C1172" t="s">
        <v>11</v>
      </c>
      <c r="D1172" t="str">
        <f>HYPERLINK("Https://www.gov.gr/ipiresies/polites-kai-kathemerinoteta/polites-allon-kraton/paratase-khronou-brakheias-diamones-allodapon-upekoon-trites-khoras","Παράταση χρόνου βραχείας διαμονής αλλοδαπών υπηκόων τρίτης χώρας")</f>
        <v>Παράταση χρόνου βραχείας διαμονής αλλοδαπών υπηκόων τρίτης χώρας</v>
      </c>
      <c r="E1172" t="s">
        <v>29</v>
      </c>
    </row>
    <row r="1173" spans="1:5" x14ac:dyDescent="0.25">
      <c r="A1173">
        <v>16726</v>
      </c>
      <c r="B1173" t="s">
        <v>10</v>
      </c>
      <c r="C1173" t="s">
        <v>11</v>
      </c>
      <c r="D1173" t="str">
        <f>HYPERLINK("Https://www.gov.gr/ipiresies/polites-kai-kathemerinoteta/polites-allon-kraton/parokhe-prosorines-prostasias-se-ektopismenous-polites-apo-ten-oukrania","Παροχή προσωρινής προστασίας σε εκτοπισμένους πολίτες από την Ουκρανία")</f>
        <v>Παροχή προσωρινής προστασίας σε εκτοπισμένους πολίτες από την Ουκρανία</v>
      </c>
      <c r="E1173" t="s">
        <v>12</v>
      </c>
    </row>
    <row r="1174" spans="1:5" x14ac:dyDescent="0.25">
      <c r="A1174">
        <v>15369</v>
      </c>
      <c r="B1174" t="s">
        <v>10</v>
      </c>
      <c r="C1174" t="s">
        <v>11</v>
      </c>
      <c r="D1174" t="str">
        <f>HYPERLINK("Https://www.gov.gr/ipiresies/polites-kai-kathemerinoteta/polites-allon-kraton/pistopoiese-monimes-diamones-polite-kratous-melous-tes-ee","Πιστοποίηση μόνιμης διαμονής πολίτη κράτους μέλους της ΕΕ")</f>
        <v>Πιστοποίηση μόνιμης διαμονής πολίτη κράτους μέλους της ΕΕ</v>
      </c>
      <c r="E1174" t="s">
        <v>29</v>
      </c>
    </row>
    <row r="1175" spans="1:5" x14ac:dyDescent="0.25">
      <c r="A1175">
        <v>15626</v>
      </c>
      <c r="B1175" t="s">
        <v>10</v>
      </c>
      <c r="C1175" t="s">
        <v>11</v>
      </c>
      <c r="D1175" t="str">
        <f>HYPERLINK("Https://www.gov.gr/ipiresies/polites-kai-kathemerinoteta/polites-allon-kraton/poreia-phakelou-polite-trites-khoras","Πορεία φακέλου πολίτη τρίτης χώρας")</f>
        <v>Πορεία φακέλου πολίτη τρίτης χώρας</v>
      </c>
      <c r="E1175" t="s">
        <v>12</v>
      </c>
    </row>
    <row r="1176" spans="1:5" x14ac:dyDescent="0.25">
      <c r="A1176">
        <v>16847</v>
      </c>
      <c r="B1176" t="s">
        <v>10</v>
      </c>
      <c r="C1176" t="s">
        <v>11</v>
      </c>
      <c r="D1176" t="str">
        <f>HYPERLINK("Https://www.gov.gr/ipiresies/polites-kai-kathemerinoteta/polites-allon-kraton/programmatismos-arkhikes-katagraphes-aitematos-gia-diethne-prostasia","Προγραμματισμός αρχικής καταγραφής αιτήματος για διεθνή προστασία")</f>
        <v>Προγραμματισμός αρχικής καταγραφής αιτήματος για διεθνή προστασία</v>
      </c>
      <c r="E1176" t="s">
        <v>12</v>
      </c>
    </row>
    <row r="1177" spans="1:5" x14ac:dyDescent="0.25">
      <c r="A1177">
        <v>16848</v>
      </c>
      <c r="B1177" t="s">
        <v>10</v>
      </c>
      <c r="C1177" t="s">
        <v>11</v>
      </c>
      <c r="D1177" t="str">
        <f>HYPERLINK("Https://www.gov.gr/ipiresies/polites-kai-kathemerinoteta/polites-allon-kraton/programmatismos-metagenesteres-katagraphes-aitematos-gia-diethne-prostasia","Προγραμματισμός μεταγενέστερης καταγραφής αιτήματος για διεθνή προστασία")</f>
        <v>Προγραμματισμός μεταγενέστερης καταγραφής αιτήματος για διεθνή προστασία</v>
      </c>
      <c r="E1177" t="s">
        <v>12</v>
      </c>
    </row>
    <row r="1178" spans="1:5" x14ac:dyDescent="0.25">
      <c r="A1178">
        <v>15486</v>
      </c>
      <c r="B1178" t="s">
        <v>10</v>
      </c>
      <c r="C1178" t="s">
        <v>11</v>
      </c>
      <c r="D1178" t="str">
        <f>HYPERLINK("Https://www.gov.gr/ipiresies/polites-kai-kathemerinoteta/polites-allon-kraton/proelegkhos-epibaton-krouazieroploion-gia-ten-eisodo-tous-sten-ellada","Προέλεγχος επιβατών κρουαζιερόπλοιων για την είσοδό τους στην Ελλάδα")</f>
        <v>Προέλεγχος επιβατών κρουαζιερόπλοιων για την είσοδό τους στην Ελλάδα</v>
      </c>
      <c r="E1178" t="s">
        <v>29</v>
      </c>
    </row>
    <row r="1179" spans="1:5" x14ac:dyDescent="0.25">
      <c r="A1179">
        <v>15820</v>
      </c>
      <c r="B1179" t="s">
        <v>10</v>
      </c>
      <c r="C1179" t="s">
        <v>11</v>
      </c>
      <c r="D1179" t="str">
        <f>HYPERLINK("Https://www.gov.gr/ipiresies/polites-kai-kathemerinoteta/polites-allon-kraton/rantebou-gia-epidose-ananeose-adeias-diamones","Ραντεβού για επίδοση / ανανέωση άδειας διαμονής")</f>
        <v>Ραντεβού για επίδοση / ανανέωση άδειας διαμονής</v>
      </c>
      <c r="E1179" t="s">
        <v>12</v>
      </c>
    </row>
    <row r="1180" spans="1:5" x14ac:dyDescent="0.25">
      <c r="A1180">
        <v>16366</v>
      </c>
      <c r="B1180" t="s">
        <v>10</v>
      </c>
      <c r="C1180" t="s">
        <v>11</v>
      </c>
      <c r="D1180" t="str">
        <f>HYPERLINK("Https://www.gov.gr/ipiresies/polites-kai-kathemerinoteta/polites-allon-kraton/summetokhe-stis-exetaseis-tou-pistopoietikou-eparkeias-gnoseon-gia-politographese-pegp","Συμμετοχή στις εξετάσεις του Πιστοποιητικού Επάρκειας Γνώσεων για Πολιτογράφηση (ΠΕΓΠ)")</f>
        <v>Συμμετοχή στις εξετάσεις του Πιστοποιητικού Επάρκειας Γνώσεων για Πολιτογράφηση (ΠΕΓΠ)</v>
      </c>
      <c r="E1180" t="s">
        <v>68</v>
      </c>
    </row>
    <row r="1181" spans="1:5" x14ac:dyDescent="0.25">
      <c r="A1181">
        <v>16374</v>
      </c>
      <c r="B1181" t="s">
        <v>10</v>
      </c>
      <c r="C1181" t="s">
        <v>11</v>
      </c>
      <c r="D1181" t="str">
        <f>HYPERLINK("Https://www.gov.gr/ipiresies/polites-kai-kathemerinoteta/polites-allon-kraton/khoregese-adeias-diamones-gia-exairetikous-logous","Χορήγηση άδειας διαμονής για εξαιρετικούς λόγους")</f>
        <v>Χορήγηση άδειας διαμονής για εξαιρετικούς λόγους</v>
      </c>
      <c r="E1181" t="s">
        <v>12</v>
      </c>
    </row>
    <row r="1182" spans="1:5" x14ac:dyDescent="0.25">
      <c r="A1182">
        <v>16810</v>
      </c>
      <c r="B1182" t="s">
        <v>10</v>
      </c>
      <c r="C1182" t="s">
        <v>25</v>
      </c>
      <c r="D1182" t="str">
        <f>HYPERLINK("Https://www.gov.gr/ipiresies/polites-kai-kathemerinoteta/stoikheia-polite-kai-tautopoietika-eggrapha/myphoto-gia-polites","myPhoto για πολίτες")</f>
        <v>myPhoto για πολίτες</v>
      </c>
      <c r="E1182" t="s">
        <v>26</v>
      </c>
    </row>
    <row r="1183" spans="1:5" x14ac:dyDescent="0.25">
      <c r="A1183">
        <v>16820</v>
      </c>
      <c r="B1183" t="s">
        <v>10</v>
      </c>
      <c r="C1183" t="s">
        <v>25</v>
      </c>
      <c r="D1183" t="str">
        <f>HYPERLINK("Https://www.gov.gr/ipiresies/polites-kai-kathemerinoteta/stoikheia-polite-kai-tautopoietika-eggrapha/anaklese-psephiakon-eggraphon-tou-gov-gr-wallet","Ανάκληση ψηφιακών εγγράφων του Gov.gr Wallet")</f>
        <v>Ανάκληση ψηφιακών εγγράφων του Gov.gr Wallet</v>
      </c>
      <c r="E1183" t="s">
        <v>26</v>
      </c>
    </row>
    <row r="1184" spans="1:5" x14ac:dyDescent="0.25">
      <c r="A1184">
        <v>16413</v>
      </c>
      <c r="B1184" t="s">
        <v>10</v>
      </c>
      <c r="C1184" t="s">
        <v>25</v>
      </c>
      <c r="D1184" t="str">
        <f>HYPERLINK("Https://www.gov.gr/ipiresies/polites-kai-kathemerinoteta/stoikheia-polite-kai-tautopoietika-eggrapha/apodose-arithmou-phorologikou-metroou-aphm-kai-kleidarithmou-se-phusiko-prosopo","Απόδοση Αριθμού Φορολογικού Μητρώου (ΑΦΜ) και κλειδάριθμου σε φυσικό πρόσωπο")</f>
        <v>Απόδοση Αριθμού Φορολογικού Μητρώου (ΑΦΜ) και κλειδάριθμου σε φυσικό πρόσωπο</v>
      </c>
      <c r="E1184" t="s">
        <v>59</v>
      </c>
    </row>
    <row r="1185" spans="1:5" x14ac:dyDescent="0.25">
      <c r="A1185">
        <v>16414</v>
      </c>
      <c r="B1185" t="s">
        <v>10</v>
      </c>
      <c r="C1185" t="s">
        <v>25</v>
      </c>
      <c r="D1185" t="str">
        <f>HYPERLINK("Https://www.gov.gr/ipiresies/polites-kai-kathemerinoteta/stoikheia-polite-kai-tautopoietika-eggrapha/apodose-arithmou-phorologikou-metroou-aphm-se-phusiko-prosopo","Απόδοση αριθμού φορολογικού μητρώου (ΑΦΜ) σε φυσικό πρόσωπο")</f>
        <v>Απόδοση αριθμού φορολογικού μητρώου (ΑΦΜ) σε φυσικό πρόσωπο</v>
      </c>
      <c r="E1185" t="s">
        <v>59</v>
      </c>
    </row>
    <row r="1186" spans="1:5" x14ac:dyDescent="0.25">
      <c r="A1186">
        <v>15646</v>
      </c>
      <c r="B1186" t="s">
        <v>10</v>
      </c>
      <c r="C1186" t="s">
        <v>25</v>
      </c>
      <c r="D1186" t="str">
        <f>HYPERLINK("Https://www.gov.gr/ipiresies/polites-kai-kathemerinoteta/stoikheia-polite-kai-tautopoietika-eggrapha/apodose-kleidarithmou-me-psephiako-rantebou","Απόδοση κλειδάριθμου")</f>
        <v>Απόδοση κλειδάριθμου</v>
      </c>
      <c r="E1186" t="s">
        <v>59</v>
      </c>
    </row>
    <row r="1187" spans="1:5" x14ac:dyDescent="0.25">
      <c r="A1187">
        <v>16344</v>
      </c>
      <c r="B1187" t="s">
        <v>10</v>
      </c>
      <c r="C1187" t="s">
        <v>25</v>
      </c>
      <c r="D1187" t="str">
        <f>HYPERLINK("Https://www.gov.gr/ipiresies/polites-kai-kathemerinoteta/stoikheia-polite-kai-tautopoietika-eggrapha/delose-apoleias-astunomikou-deltiou-tautotetas","Δήλωση απώλειας αστυνομικού δελτίου ταυτότητας")</f>
        <v>Δήλωση απώλειας αστυνομικού δελτίου ταυτότητας</v>
      </c>
      <c r="E1187" t="s">
        <v>29</v>
      </c>
    </row>
    <row r="1188" spans="1:5" x14ac:dyDescent="0.25">
      <c r="A1188">
        <v>16350</v>
      </c>
      <c r="B1188" t="s">
        <v>10</v>
      </c>
      <c r="C1188" t="s">
        <v>25</v>
      </c>
      <c r="D1188" t="str">
        <f>HYPERLINK("Https://www.gov.gr/ipiresies/polites-kai-kathemerinoteta/stoikheia-polite-kai-tautopoietika-eggrapha/ethniko-metroo-epikoinonias-emep","Εθνικό Μητρώο Επικοινωνίας (ΕΜΕπ)")</f>
        <v>Εθνικό Μητρώο Επικοινωνίας (ΕΜΕπ)</v>
      </c>
      <c r="E1188" t="s">
        <v>26</v>
      </c>
    </row>
    <row r="1189" spans="1:5" x14ac:dyDescent="0.25">
      <c r="A1189">
        <v>15164</v>
      </c>
      <c r="B1189" t="s">
        <v>10</v>
      </c>
      <c r="C1189" t="s">
        <v>25</v>
      </c>
      <c r="D1189" t="str">
        <f>HYPERLINK("Https://www.gov.gr/ipiresies/polites-kai-kathemerinoteta/stoikheia-polite-kai-tautopoietika-eggrapha/eurese-arithmou-metroou-koinonikes-asphalises-amka","Εύρεση Αριθμού Μητρώου Κοινωνικής Ασφάλισης (ΑΜΚΑ)")</f>
        <v>Εύρεση Αριθμού Μητρώου Κοινωνικής Ασφάλισης (ΑΜΚΑ)</v>
      </c>
      <c r="E1189" t="s">
        <v>132</v>
      </c>
    </row>
    <row r="1190" spans="1:5" x14ac:dyDescent="0.25">
      <c r="A1190">
        <v>16819</v>
      </c>
      <c r="B1190" t="s">
        <v>10</v>
      </c>
      <c r="C1190" t="s">
        <v>25</v>
      </c>
      <c r="D1190" t="str">
        <f>HYPERLINK("Https://www.gov.gr/ipiresies/polites-kai-kathemerinoteta/stoikheia-polite-kai-tautopoietika-eggrapha/epharmoge-gia-kinetes-suskeues-gov-gr-wallet","Εφαρμογή για κινητές συσκευές Gov.gr Wallet")</f>
        <v>Εφαρμογή για κινητές συσκευές Gov.gr Wallet</v>
      </c>
      <c r="E1190" t="s">
        <v>26</v>
      </c>
    </row>
    <row r="1191" spans="1:5" x14ac:dyDescent="0.25">
      <c r="A1191">
        <v>15623</v>
      </c>
      <c r="B1191" t="s">
        <v>10</v>
      </c>
      <c r="C1191" t="s">
        <v>25</v>
      </c>
      <c r="D1191" t="str">
        <f>HYPERLINK("Https://www.gov.gr/ipiresies/polites-kai-kathemerinoteta/stoikheia-polite-kai-tautopoietika-eggrapha/elektronike-eggraphe-diakheirise-kodikon-taxisnet","Ηλεκτρονική εγγραφή / διαχείριση κωδικών Taxisnet")</f>
        <v>Ηλεκτρονική εγγραφή / διαχείριση κωδικών Taxisnet</v>
      </c>
      <c r="E1191" t="s">
        <v>59</v>
      </c>
    </row>
    <row r="1192" spans="1:5" x14ac:dyDescent="0.25">
      <c r="A1192">
        <v>15635</v>
      </c>
      <c r="B1192" t="s">
        <v>10</v>
      </c>
      <c r="C1192" t="s">
        <v>25</v>
      </c>
      <c r="D1192" t="str">
        <f>HYPERLINK("Https://www.gov.gr/ipiresies/polites-kai-kathemerinoteta/stoikheia-polite-kai-tautopoietika-eggrapha/thurida-polite","Θυρίδα πολίτη")</f>
        <v>Θυρίδα πολίτη</v>
      </c>
      <c r="E1192" t="s">
        <v>26</v>
      </c>
    </row>
    <row r="1193" spans="1:5" x14ac:dyDescent="0.25">
      <c r="A1193">
        <v>15375</v>
      </c>
      <c r="B1193" t="s">
        <v>10</v>
      </c>
      <c r="C1193" t="s">
        <v>25</v>
      </c>
      <c r="D1193" t="str">
        <f>HYPERLINK("Https://www.gov.gr/ipiresies/polites-kai-kathemerinoteta/stoikheia-polite-kai-tautopoietika-eggrapha/katastrophe-stoikheion-semanseos","Καταστροφή στοιχείων σημάνσεως")</f>
        <v>Καταστροφή στοιχείων σημάνσεως</v>
      </c>
      <c r="E1193" t="s">
        <v>29</v>
      </c>
    </row>
    <row r="1194" spans="1:5" x14ac:dyDescent="0.25">
      <c r="A1194">
        <v>16177</v>
      </c>
      <c r="B1194" t="s">
        <v>10</v>
      </c>
      <c r="C1194" t="s">
        <v>25</v>
      </c>
      <c r="D1194" t="str">
        <f>HYPERLINK("Https://www.gov.gr/ipiresies/polites-kai-kathemerinoteta/stoikheia-polite-kai-tautopoietika-eggrapha/metabole-stoikheion-ston-arithmo-metroou-koinonikes-asphalises-amka","Μεταβολή στοιχείων στον Αριθμό Μητρώου Κοινωνικής Ασφάλισης (ΑΜΚΑ)")</f>
        <v>Μεταβολή στοιχείων στον Αριθμό Μητρώου Κοινωνικής Ασφάλισης (ΑΜΚΑ)</v>
      </c>
      <c r="E1194" t="s">
        <v>132</v>
      </c>
    </row>
    <row r="1195" spans="1:5" x14ac:dyDescent="0.25">
      <c r="A1195">
        <v>16371</v>
      </c>
      <c r="B1195" t="s">
        <v>10</v>
      </c>
      <c r="C1195" t="s">
        <v>25</v>
      </c>
      <c r="D1195" t="str">
        <f>HYPERLINK("Https://www.gov.gr/ipiresies/polites-kai-kathemerinoteta/stoikheia-polite-kai-tautopoietika-eggrapha/kyc","Συστηθείτε - Know Your Customer (eGov- KYC)")</f>
        <v>Συστηθείτε - Know Your Customer (eGov- KYC)</v>
      </c>
      <c r="E1195" t="s">
        <v>26</v>
      </c>
    </row>
    <row r="1196" spans="1:5" x14ac:dyDescent="0.25">
      <c r="A1196">
        <v>15718</v>
      </c>
      <c r="B1196" t="s">
        <v>10</v>
      </c>
      <c r="C1196" t="s">
        <v>177</v>
      </c>
      <c r="D1196" t="str">
        <f>HYPERLINK("Https://www.gov.gr/ipiresies/polites-kai-kathemerinoteta/takhudromeia/epikheireseis-me-adeia-takhudromikon-uperesion","Επιχειρήσεις με άδεια ταχυδρομικών υπηρεσιών")</f>
        <v>Επιχειρήσεις με άδεια ταχυδρομικών υπηρεσιών</v>
      </c>
      <c r="E1196" t="s">
        <v>162</v>
      </c>
    </row>
    <row r="1197" spans="1:5" x14ac:dyDescent="0.25">
      <c r="A1197">
        <v>16442</v>
      </c>
      <c r="B1197" t="s">
        <v>10</v>
      </c>
      <c r="C1197" t="s">
        <v>177</v>
      </c>
      <c r="D1197" t="str">
        <f>HYPERLINK("Https://www.gov.gr/ipiresies/polites-kai-kathemerinoteta/takhudromeia/metroo-tou-arthrou-13-tes-apdpkh","Μητρώο του «άρθρου 13» της Αρχή Προστασίας Δεδομένων")</f>
        <v>Μητρώο του «άρθρου 13» της Αρχή Προστασίας Δεδομένων</v>
      </c>
      <c r="E1197" t="s">
        <v>45</v>
      </c>
    </row>
    <row r="1198" spans="1:5" x14ac:dyDescent="0.25">
      <c r="A1198">
        <v>15719</v>
      </c>
      <c r="B1198" t="s">
        <v>10</v>
      </c>
      <c r="C1198" t="s">
        <v>177</v>
      </c>
      <c r="D1198" t="str">
        <f>HYPERLINK("Https://www.gov.gr/ipiresies/polites-kai-kathemerinoteta/takhudromeia/takhudromika-katastemata","Ταχυδρομικά καταστήματα")</f>
        <v>Ταχυδρομικά καταστήματα</v>
      </c>
      <c r="E1198" t="s">
        <v>162</v>
      </c>
    </row>
    <row r="1199" spans="1:5" x14ac:dyDescent="0.25">
      <c r="A1199">
        <v>16033</v>
      </c>
      <c r="B1199" t="s">
        <v>10</v>
      </c>
      <c r="C1199" t="s">
        <v>40</v>
      </c>
      <c r="D1199" t="str">
        <f>HYPERLINK("Https://www.gov.gr/ipiresies/polites-kai-kathemerinoteta/telepikoinonies/adeia-radioerasitekhne","Άδεια ραδιοερασιτέχνη")</f>
        <v>Άδεια ραδιοερασιτέχνη</v>
      </c>
      <c r="E1199" t="s">
        <v>31</v>
      </c>
    </row>
    <row r="1200" spans="1:5" x14ac:dyDescent="0.25">
      <c r="A1200">
        <v>16018</v>
      </c>
      <c r="B1200" t="s">
        <v>10</v>
      </c>
      <c r="C1200" t="s">
        <v>40</v>
      </c>
      <c r="D1200" t="str">
        <f>HYPERLINK("Https://www.gov.gr/ipiresies/polites-kai-kathemerinoteta/telepikoinonies/adeia-radioerasitekhne-sv0","Άδεια ραδιοερασιτέχνη SV0")</f>
        <v>Άδεια ραδιοερασιτέχνη SV0</v>
      </c>
      <c r="E1200" t="s">
        <v>31</v>
      </c>
    </row>
    <row r="1201" spans="1:5" x14ac:dyDescent="0.25">
      <c r="A1201">
        <v>16619</v>
      </c>
      <c r="B1201" t="s">
        <v>10</v>
      </c>
      <c r="C1201" t="s">
        <v>40</v>
      </c>
      <c r="D1201" t="str">
        <f>HYPERLINK("Https://www.gov.gr/ipiresies/polites-kai-kathemerinoteta/telepikoinonies/apallage-telon-kinetes-telephonias","Απαλλαγή τελών κινητής τηλεφωνίας")</f>
        <v>Απαλλαγή τελών κινητής τηλεφωνίας</v>
      </c>
      <c r="E1201" t="s">
        <v>15</v>
      </c>
    </row>
    <row r="1202" spans="1:5" x14ac:dyDescent="0.25">
      <c r="A1202">
        <v>15714</v>
      </c>
      <c r="B1202" t="s">
        <v>10</v>
      </c>
      <c r="C1202" t="s">
        <v>40</v>
      </c>
      <c r="D1202" t="str">
        <f>HYPERLINK("Https://www.gov.gr/ipiresies/polites-kai-kathemerinoteta/telepikoinonies/ekkhoremenoi-arithmoi","Εκχωρημένοι αριθμοί")</f>
        <v>Εκχωρημένοι αριθμοί</v>
      </c>
      <c r="E1202" t="s">
        <v>162</v>
      </c>
    </row>
    <row r="1203" spans="1:5" x14ac:dyDescent="0.25">
      <c r="A1203">
        <v>15716</v>
      </c>
      <c r="B1203" t="s">
        <v>10</v>
      </c>
      <c r="C1203" t="s">
        <v>40</v>
      </c>
      <c r="D1203" t="str">
        <f>HYPERLINK("Https://www.gov.gr/ipiresies/polites-kai-kathemerinoteta/telepikoinonies/elegkhos-diathesimotetas-onomatos-khorou-domain-name","Έλεγχος διαθεσιμότητας ονόματος χώρου (domain name)")</f>
        <v>Έλεγχος διαθεσιμότητας ονόματος χώρου (domain name)</v>
      </c>
      <c r="E1203" t="s">
        <v>162</v>
      </c>
    </row>
    <row r="1204" spans="1:5" x14ac:dyDescent="0.25">
      <c r="A1204">
        <v>15712</v>
      </c>
      <c r="B1204" t="s">
        <v>10</v>
      </c>
      <c r="C1204" t="s">
        <v>40</v>
      </c>
      <c r="D1204" t="str">
        <f>HYPERLINK("Https://www.gov.gr/ipiresies/polites-kai-kathemerinoteta/telepikoinonies/epikheireseis-me-genike-adeia-elektronikon-epikoinonion","Επιχειρήσεις με γενική άδεια ηλεκτρονικών επικοινωνιών")</f>
        <v>Επιχειρήσεις με γενική άδεια ηλεκτρονικών επικοινωνιών</v>
      </c>
      <c r="E1204" t="s">
        <v>162</v>
      </c>
    </row>
    <row r="1205" spans="1:5" x14ac:dyDescent="0.25">
      <c r="A1205">
        <v>15717</v>
      </c>
      <c r="B1205" t="s">
        <v>10</v>
      </c>
      <c r="C1205" t="s">
        <v>40</v>
      </c>
      <c r="D1205" t="str">
        <f>HYPERLINK("Https://www.gov.gr/ipiresies/polites-kai-kathemerinoteta/telepikoinonies/katakhoretes-onomaton-khorou-domain-names","Καταχωρητές ονομάτων χώρου (domain names)")</f>
        <v>Καταχωρητές ονομάτων χώρου (domain names)</v>
      </c>
      <c r="E1205" t="s">
        <v>162</v>
      </c>
    </row>
    <row r="1206" spans="1:5" x14ac:dyDescent="0.25">
      <c r="A1206">
        <v>15671</v>
      </c>
      <c r="B1206" t="s">
        <v>10</v>
      </c>
      <c r="C1206" t="s">
        <v>40</v>
      </c>
      <c r="D1206" t="str">
        <f>HYPERLINK("Https://www.gov.gr/ipiresies/polites-kai-kathemerinoteta/telepikoinonies/keraies-kinetes-telephonias","Κεραίες κινητής τηλεφωνίας")</f>
        <v>Κεραίες κινητής τηλεφωνίας</v>
      </c>
      <c r="E1206" t="s">
        <v>162</v>
      </c>
    </row>
    <row r="1207" spans="1:5" x14ac:dyDescent="0.25">
      <c r="A1207">
        <v>15571</v>
      </c>
      <c r="B1207" t="s">
        <v>10</v>
      </c>
      <c r="C1207" t="s">
        <v>40</v>
      </c>
      <c r="D1207" t="str">
        <f>HYPERLINK("Https://www.gov.gr/ipiresies/polites-kai-kathemerinoteta/telepikoinonies/metrese-takhutetas-euruzonikon-sundeseon","Μέτρηση ταχύτητας ευρυζωνικών συνδέσεων")</f>
        <v>Μέτρηση ταχύτητας ευρυζωνικών συνδέσεων</v>
      </c>
      <c r="E1207" t="s">
        <v>162</v>
      </c>
    </row>
    <row r="1208" spans="1:5" x14ac:dyDescent="0.25">
      <c r="A1208">
        <v>15720</v>
      </c>
      <c r="B1208" t="s">
        <v>10</v>
      </c>
      <c r="C1208" t="s">
        <v>40</v>
      </c>
      <c r="D1208" t="str">
        <f>HYPERLINK("Https://www.gov.gr/ipiresies/polites-kai-kathemerinoteta/telepikoinonies/paratereterio-timon-telepikoinoniakon-kai-takhudromikon-proionton-pricescope","Παρατηρητήριο τιμών τηλεπικοινωνιακών και ταχυδρομικών προϊόντων (Pricescope)")</f>
        <v>Παρατηρητήριο τιμών τηλεπικοινωνιακών και ταχυδρομικών προϊόντων (Pricescope)</v>
      </c>
      <c r="E1208" t="s">
        <v>162</v>
      </c>
    </row>
    <row r="1209" spans="1:5" x14ac:dyDescent="0.25">
      <c r="A1209">
        <v>15715</v>
      </c>
      <c r="B1209" t="s">
        <v>10</v>
      </c>
      <c r="C1209" t="s">
        <v>40</v>
      </c>
      <c r="D1209" t="str">
        <f>HYPERLINK("Https://www.gov.gr/ipiresies/polites-kai-kathemerinoteta/telepikoinonies/pentapsephioi-arithmoi-auxemenes-khreoses","Πενταψήφιοι αριθμοί αυξημένης χρέωσης")</f>
        <v>Πενταψήφιοι αριθμοί αυξημένης χρέωσης</v>
      </c>
      <c r="E1209" t="s">
        <v>162</v>
      </c>
    </row>
    <row r="1210" spans="1:5" x14ac:dyDescent="0.25">
      <c r="A1210">
        <v>16419</v>
      </c>
      <c r="B1210" t="s">
        <v>10</v>
      </c>
      <c r="C1210" t="s">
        <v>40</v>
      </c>
      <c r="D1210" t="str">
        <f>HYPERLINK("Https://www.gov.gr/ipiresies/polites-kai-kathemerinoteta/telepikoinonies/leukes-periohes","Πρόσβαση των περιοχών εκτός τηλεοπτικής κάλυψης (λευκές περιοχές) στο πρόγραμμα ελληνικών τηλεοπτικών σταθμών")</f>
        <v>Πρόσβαση των περιοχών εκτός τηλεοπτικής κάλυψης (λευκές περιοχές) στο πρόγραμμα ελληνικών τηλεοπτικών σταθμών</v>
      </c>
      <c r="E1210" t="s">
        <v>26</v>
      </c>
    </row>
    <row r="1211" spans="1:5" x14ac:dyDescent="0.25">
      <c r="A1211">
        <v>15572</v>
      </c>
      <c r="B1211" t="s">
        <v>10</v>
      </c>
      <c r="C1211" t="s">
        <v>40</v>
      </c>
      <c r="D1211" t="str">
        <f>HYPERLINK("Https://www.gov.gr/ipiresies/polites-kai-kathemerinoteta/telepikoinonies/phoretoteta-arithmou","Φορητότητα αριθμού")</f>
        <v>Φορητότητα αριθμού</v>
      </c>
      <c r="E1211" t="s">
        <v>162</v>
      </c>
    </row>
    <row r="1212" spans="1:5" x14ac:dyDescent="0.25">
      <c r="A1212">
        <v>16518</v>
      </c>
      <c r="B1212" t="s">
        <v>10</v>
      </c>
      <c r="C1212" t="s">
        <v>72</v>
      </c>
      <c r="D1212" t="str">
        <f>HYPERLINK("Https://www.gov.gr/ipiresies/polites-kai-kathemerinoteta/phusikes-katastrophes/aitese-protes-aroges-kai-apallages-enphia-plegenton-apo-tis-purkagies-iouliou-augoustou-2021-aroge","Αίτηση πρώτης αρωγής και απαλλαγής ΕΝΦΙΑ πληγέντων από τις πυρκαγιές Ιουλίου-Αυγούστου 2021 (Αρωγή)")</f>
        <v>Αίτηση πρώτης αρωγής και απαλλαγής ΕΝΦΙΑ πληγέντων από τις πυρκαγιές Ιουλίου-Αυγούστου 2021 (Αρωγή)</v>
      </c>
      <c r="E1212" t="s">
        <v>15</v>
      </c>
    </row>
    <row r="1213" spans="1:5" x14ac:dyDescent="0.25">
      <c r="A1213">
        <v>16849</v>
      </c>
      <c r="B1213" t="s">
        <v>10</v>
      </c>
      <c r="C1213" t="s">
        <v>72</v>
      </c>
      <c r="D1213" t="str">
        <f>HYPERLINK("Https://www.gov.gr/ipiresies/polites-kai-kathemerinoteta/phusikes-katastrophes/aitese-protes-aroges-plegenton-apo-tis-purkagies-ten-19e-iouliou-2022","Αίτηση πρώτης αρωγής πληγέντων από τις πυρκαγιές την 19η Ιουλίου 2022")</f>
        <v>Αίτηση πρώτης αρωγής πληγέντων από τις πυρκαγιές την 19η Ιουλίου 2022</v>
      </c>
      <c r="E1213" t="s">
        <v>15</v>
      </c>
    </row>
    <row r="1214" spans="1:5" x14ac:dyDescent="0.25">
      <c r="A1214">
        <v>15798</v>
      </c>
      <c r="B1214" t="s">
        <v>10</v>
      </c>
      <c r="C1214" t="s">
        <v>72</v>
      </c>
      <c r="D1214" t="str">
        <f>HYPERLINK("Https://www.gov.gr/ipiresies/polites-kai-kathemerinoteta/phusikes-katastrophes/ektakta-metra-sterixes-plegenton-kakokairias-ianos","Έκτακτα μέτρα στήριξης πληγέντων κακοκαιρίας Ιανός")</f>
        <v>Έκτακτα μέτρα στήριξης πληγέντων κακοκαιρίας Ιανός</v>
      </c>
      <c r="E1214" t="s">
        <v>163</v>
      </c>
    </row>
    <row r="1215" spans="1:5" x14ac:dyDescent="0.25">
      <c r="A1215">
        <v>16468</v>
      </c>
      <c r="B1215" t="s">
        <v>10</v>
      </c>
      <c r="C1215" t="s">
        <v>72</v>
      </c>
      <c r="D1215" t="str">
        <f>HYPERLINK("Https://www.gov.gr/ipiresies/polites-kai-kathemerinoteta/phusikes-katastrophes/pistopoietiko-kairikon-sunthekon","Πιστοποιητικό καιρικών συνθηκών")</f>
        <v>Πιστοποιητικό καιρικών συνθηκών</v>
      </c>
      <c r="E1215" t="s">
        <v>71</v>
      </c>
    </row>
    <row r="1216" spans="1:5" x14ac:dyDescent="0.25">
      <c r="A1216">
        <v>16517</v>
      </c>
      <c r="B1216" t="s">
        <v>10</v>
      </c>
      <c r="C1216" t="s">
        <v>72</v>
      </c>
      <c r="D1216" t="str">
        <f>HYPERLINK("Https://www.gov.gr/ipiresies/polites-kai-kathemerinoteta/phusikes-katastrophes/eniskhuses-puroplikton-ergazomenon-oaed-2021","Πρόγραμμα έκτακτης οικονομικής ενίσχυσης εργαζομένων σε επιχειρήσεις-εργοδότες με έδρα σε πυρόπληκτες περιοχές")</f>
        <v>Πρόγραμμα έκτακτης οικονομικής ενίσχυσης εργαζομένων σε επιχειρήσεις-εργοδότες με έδρα σε πυρόπληκτες περιοχές</v>
      </c>
      <c r="E1216" t="s">
        <v>66</v>
      </c>
    </row>
    <row r="1217" spans="1:5" x14ac:dyDescent="0.25">
      <c r="A1217">
        <v>16521</v>
      </c>
      <c r="B1217" t="s">
        <v>10</v>
      </c>
      <c r="C1217" t="s">
        <v>72</v>
      </c>
      <c r="D1217" t="str">
        <f>HYPERLINK("Https://www.gov.gr/ipiresies/polites-kai-kathemerinoteta/phusikes-katastrophes/psephiake-diakheirise-doreon-kai-khoregion","Ψηφιακή διαχείριση δωρεών και χορηγιών")</f>
        <v>Ψηφιακή διαχείριση δωρεών και χορηγιών</v>
      </c>
      <c r="E1217" t="s">
        <v>153</v>
      </c>
    </row>
    <row r="1218" spans="1:5" x14ac:dyDescent="0.25">
      <c r="A1218">
        <v>15341</v>
      </c>
      <c r="B1218" t="s">
        <v>10</v>
      </c>
      <c r="C1218" t="s">
        <v>171</v>
      </c>
      <c r="D1218" t="str">
        <f>HYPERLINK("Https://www.gov.gr/ipiresies/polites-kai-kathemerinoteta/psephiaka-eggrapha-gov-gr/ekdose-exousiodoteses","Έκδοση εξουσιοδότησης")</f>
        <v>Έκδοση εξουσιοδότησης</v>
      </c>
      <c r="E1218" t="s">
        <v>26</v>
      </c>
    </row>
    <row r="1219" spans="1:5" x14ac:dyDescent="0.25">
      <c r="A1219">
        <v>15387</v>
      </c>
      <c r="B1219" t="s">
        <v>10</v>
      </c>
      <c r="C1219" t="s">
        <v>171</v>
      </c>
      <c r="D1219" t="str">
        <f>HYPERLINK("Https://www.gov.gr/ipiresies/polites-kai-kathemerinoteta/psephiaka-eggrapha-gov-gr/ekdose-upeuthunes-deloses","Έκδοση υπεύθυνης δήλωσης")</f>
        <v>Έκδοση υπεύθυνης δήλωσης</v>
      </c>
      <c r="E1219" t="s">
        <v>26</v>
      </c>
    </row>
    <row r="1220" spans="1:5" x14ac:dyDescent="0.25">
      <c r="A1220">
        <v>15634</v>
      </c>
      <c r="B1220" t="s">
        <v>10</v>
      </c>
      <c r="C1220" t="s">
        <v>171</v>
      </c>
      <c r="D1220" t="str">
        <f>HYPERLINK("Https://www.gov.gr/ipiresies/polites-kai-kathemerinoteta/psephiaka-eggrapha-gov-gr/elegkhos-egkurotetas-eggraphon-gov-gr","Έλεγχος εγκυρότητας εγγράφων gov.gr")</f>
        <v>Έλεγχος εγκυρότητας εγγράφων gov.gr</v>
      </c>
      <c r="E1220" t="s">
        <v>26</v>
      </c>
    </row>
    <row r="1221" spans="1:5" x14ac:dyDescent="0.25">
      <c r="A1221">
        <v>16599</v>
      </c>
      <c r="B1221" t="s">
        <v>10</v>
      </c>
      <c r="C1221" t="s">
        <v>171</v>
      </c>
      <c r="D1221" t="str">
        <f>HYPERLINK("Https://www.gov.gr/ipiresies/polites-kai-kathemerinoteta/psephiaka-eggrapha-gov-gr/psephiake-bebaiose-eggraphou","Ψηφιακή βεβαίωση εγγράφου")</f>
        <v>Ψηφιακή βεβαίωση εγγράφου</v>
      </c>
      <c r="E1221" t="s">
        <v>26</v>
      </c>
    </row>
    <row r="1222" spans="1:5" x14ac:dyDescent="0.25">
      <c r="A1222">
        <v>16600</v>
      </c>
      <c r="B1222" t="s">
        <v>10</v>
      </c>
      <c r="C1222" t="s">
        <v>171</v>
      </c>
      <c r="D1222" t="str">
        <f>HYPERLINK("Https://www.gov.gr/ipiresies/polites-kai-kathemerinoteta/psephiaka-eggrapha-gov-gr/psephiake-bebaiose-idiotikou-sumphonetikou","Ψηφιακή βεβαίωση ιδιωτικού συμφωνητικού")</f>
        <v>Ψηφιακή βεβαίωση ιδιωτικού συμφωνητικού</v>
      </c>
      <c r="E1222" t="s">
        <v>26</v>
      </c>
    </row>
    <row r="1223" spans="1:5" x14ac:dyDescent="0.25">
      <c r="A1223">
        <v>16476</v>
      </c>
      <c r="B1223" t="s">
        <v>90</v>
      </c>
      <c r="C1223" t="s">
        <v>91</v>
      </c>
      <c r="D1223" t="str">
        <f>HYPERLINK("Https://www.gov.gr/ipiresies/politismos-athletismos-kai-tourismos/athletismos/anagnorise-athletikou-somateiou","Αναγνώριση αθλητικού σωματείου")</f>
        <v>Αναγνώριση αθλητικού σωματείου</v>
      </c>
      <c r="E1223" t="s">
        <v>47</v>
      </c>
    </row>
    <row r="1224" spans="1:5" x14ac:dyDescent="0.25">
      <c r="A1224">
        <v>16477</v>
      </c>
      <c r="B1224" t="s">
        <v>90</v>
      </c>
      <c r="C1224" t="s">
        <v>91</v>
      </c>
      <c r="D1224" t="str">
        <f>HYPERLINK("Https://www.gov.gr/ipiresies/politismos-athletismos-kai-tourismos/athletismos/anagnorise-somateiou-amea","Αναγνώριση σωματείου ΑμεΑ")</f>
        <v>Αναγνώριση σωματείου ΑμεΑ</v>
      </c>
      <c r="E1224" t="s">
        <v>47</v>
      </c>
    </row>
    <row r="1225" spans="1:5" x14ac:dyDescent="0.25">
      <c r="A1225">
        <v>16479</v>
      </c>
      <c r="B1225" t="s">
        <v>90</v>
      </c>
      <c r="C1225" t="s">
        <v>91</v>
      </c>
      <c r="D1225" t="str">
        <f>HYPERLINK("Https://www.gov.gr/ipiresies/politismos-athletismos-kai-tourismos/athletismos/bebaiose-eidikes-athletikes-anagnorises-somateiou-amea","Βεβαίωση ειδικής αθλητικής  αναγνώρισης σωματείου ΑμεΑ")</f>
        <v>Βεβαίωση ειδικής αθλητικής  αναγνώρισης σωματείου ΑμεΑ</v>
      </c>
      <c r="E1225" t="s">
        <v>47</v>
      </c>
    </row>
    <row r="1226" spans="1:5" x14ac:dyDescent="0.25">
      <c r="A1226">
        <v>16480</v>
      </c>
      <c r="B1226" t="s">
        <v>90</v>
      </c>
      <c r="C1226" t="s">
        <v>91</v>
      </c>
      <c r="D1226" t="str">
        <f>HYPERLINK("Https://www.gov.gr/ipiresies/politismos-athletismos-kai-tourismos/athletismos/bebaiose-prouperesias-se-programmata-mazikou-laikou-athletismou","Βεβαίωση προϋπηρεσίας σε προγράμματα μαζικού λαϊκού αθλητισμού")</f>
        <v>Βεβαίωση προϋπηρεσίας σε προγράμματα μαζικού λαϊκού αθλητισμού</v>
      </c>
      <c r="E1226" t="s">
        <v>47</v>
      </c>
    </row>
    <row r="1227" spans="1:5" x14ac:dyDescent="0.25">
      <c r="A1227">
        <v>16478</v>
      </c>
      <c r="B1227" t="s">
        <v>90</v>
      </c>
      <c r="C1227" t="s">
        <v>91</v>
      </c>
      <c r="D1227" t="str">
        <f>HYPERLINK("Https://www.gov.gr/ipiresies/politismos-athletismos-kai-tourismos/athletismos/bebaiose-somateiou-gia-ten-kalliergeia-athlematos","Βεβαίωση σωματείου για την καλλιέργεια αθλήματος")</f>
        <v>Βεβαίωση σωματείου για την καλλιέργεια αθλήματος</v>
      </c>
      <c r="E1227" t="s">
        <v>47</v>
      </c>
    </row>
    <row r="1228" spans="1:5" x14ac:dyDescent="0.25">
      <c r="A1228">
        <v>16470</v>
      </c>
      <c r="B1228" t="s">
        <v>90</v>
      </c>
      <c r="C1228" t="s">
        <v>91</v>
      </c>
      <c r="D1228" t="str">
        <f>HYPERLINK("Https://www.gov.gr/ipiresies/politismos-athletismos-kai-tourismos/athletismos/eggraphe-ston-eidiko-pinaka-diakrithenton-athleton","Εγγραφή στον ειδικό πίνακα διακριθέντων αθλητών")</f>
        <v>Εγγραφή στον ειδικό πίνακα διακριθέντων αθλητών</v>
      </c>
      <c r="E1228" t="s">
        <v>47</v>
      </c>
    </row>
    <row r="1229" spans="1:5" x14ac:dyDescent="0.25">
      <c r="A1229">
        <v>16475</v>
      </c>
      <c r="B1229" t="s">
        <v>90</v>
      </c>
      <c r="C1229" t="s">
        <v>91</v>
      </c>
      <c r="D1229" t="str">
        <f>HYPERLINK("Https://www.gov.gr/ipiresies/politismos-athletismos-kai-tourismos/athletismos/parakhorese-aigidas-tes-genikes-grammateias-athletismou","Παραχώρηση αιγίδας της Γενικής Γραμματείας Αθλητισμού")</f>
        <v>Παραχώρηση αιγίδας της Γενικής Γραμματείας Αθλητισμού</v>
      </c>
      <c r="E1229" t="s">
        <v>47</v>
      </c>
    </row>
    <row r="1230" spans="1:5" x14ac:dyDescent="0.25">
      <c r="A1230">
        <v>16471</v>
      </c>
      <c r="B1230" t="s">
        <v>90</v>
      </c>
      <c r="C1230" t="s">
        <v>91</v>
      </c>
      <c r="D1230" t="str">
        <f>HYPERLINK("Https://www.gov.gr/ipiresies/politismos-athletismos-kai-tourismos/athletismos/summetokhe-se-skhole-proponeton","Συμμετοχή σε σχολή προπονητών")</f>
        <v>Συμμετοχή σε σχολή προπονητών</v>
      </c>
      <c r="E1230" t="s">
        <v>47</v>
      </c>
    </row>
    <row r="1231" spans="1:5" x14ac:dyDescent="0.25">
      <c r="A1231">
        <v>16439</v>
      </c>
      <c r="B1231" t="s">
        <v>90</v>
      </c>
      <c r="C1231" t="s">
        <v>130</v>
      </c>
      <c r="D1231" t="str">
        <f>HYPERLINK("Https://www.gov.gr/ipiresies/politismos-athletismos-kai-tourismos/arkhaiologikoi-khoroi-kai-politistike-kleronomia/arkhaiologiko-ktematologio","Αρχαιολογικό κτηματολόγιο")</f>
        <v>Αρχαιολογικό κτηματολόγιο</v>
      </c>
      <c r="E1231" t="s">
        <v>47</v>
      </c>
    </row>
    <row r="1232" spans="1:5" x14ac:dyDescent="0.25">
      <c r="A1232">
        <v>15790</v>
      </c>
      <c r="B1232" t="s">
        <v>90</v>
      </c>
      <c r="C1232" t="s">
        <v>130</v>
      </c>
      <c r="D1232" t="str">
        <f>HYPERLINK("Https://www.gov.gr/ipiresies/politismos-athletismos-kai-tourismos/arkhaiologikoi-khoroi-kai-politistike-kleronomia/arkheio-paradosiakon-oikismon-kai-diatereteon-ktirion","Αρχείο παραδοσιακών οικισμών και διατηρητέων κτιρίων")</f>
        <v>Αρχείο παραδοσιακών οικισμών και διατηρητέων κτιρίων</v>
      </c>
      <c r="E1232" t="s">
        <v>17</v>
      </c>
    </row>
    <row r="1233" spans="1:5" x14ac:dyDescent="0.25">
      <c r="A1233">
        <v>15740</v>
      </c>
      <c r="B1233" t="s">
        <v>90</v>
      </c>
      <c r="C1233" t="s">
        <v>130</v>
      </c>
      <c r="D1233" t="str">
        <f>HYPERLINK("Https://www.gov.gr/ipiresies/politismos-athletismos-kai-tourismos/arkhaiologikoi-khoroi-kai-politistike-kleronomia/eisiteria-arkhaiologikon-khoron","Εισιτήρια αρχαιολογικών χώρων")</f>
        <v>Εισιτήρια αρχαιολογικών χώρων</v>
      </c>
      <c r="E1233" t="s">
        <v>170</v>
      </c>
    </row>
    <row r="1234" spans="1:5" x14ac:dyDescent="0.25">
      <c r="A1234">
        <v>15706</v>
      </c>
      <c r="B1234" t="s">
        <v>90</v>
      </c>
      <c r="C1234" t="s">
        <v>130</v>
      </c>
      <c r="D1234" t="str">
        <f>HYPERLINK("Https://www.gov.gr/ipiresies/politismos-athletismos-kai-tourismos/arkhaiologikoi-khoroi-kai-politistike-kleronomia/parastase-se-sumboulio-tou-upourgeiou-politismou-kai-athletismou","Παράσταση σε Συμβούλιο του Υπουργείου Πολιτισμού και Αθλητισμού")</f>
        <v>Παράσταση σε Συμβούλιο του Υπουργείου Πολιτισμού και Αθλητισμού</v>
      </c>
      <c r="E1234" t="s">
        <v>47</v>
      </c>
    </row>
    <row r="1235" spans="1:5" x14ac:dyDescent="0.25">
      <c r="A1235">
        <v>15707</v>
      </c>
      <c r="B1235" t="s">
        <v>90</v>
      </c>
      <c r="C1235" t="s">
        <v>130</v>
      </c>
      <c r="D1235" t="str">
        <f>HYPERLINK("Https://www.gov.gr/ipiresies/politismos-athletismos-kai-tourismos/arkhaiologikoi-khoroi-kai-politistike-kleronomia/praktika-gnomodoteseon-sumboulion-tou-upourgeiou-politismou-kai-athletismou","Πρακτικά γνωμοδοτήσεων Συμβουλίων του Υπουργείου Πολιτισμού και Αθλητισμού")</f>
        <v>Πρακτικά γνωμοδοτήσεων Συμβουλίων του Υπουργείου Πολιτισμού και Αθλητισμού</v>
      </c>
      <c r="E1235" t="s">
        <v>47</v>
      </c>
    </row>
    <row r="1236" spans="1:5" x14ac:dyDescent="0.25">
      <c r="A1236">
        <v>16596</v>
      </c>
      <c r="B1236" t="s">
        <v>90</v>
      </c>
      <c r="C1236" t="s">
        <v>130</v>
      </c>
      <c r="D1236" t="str">
        <f>HYPERLINK("Https://www.gov.gr/ipiresies/politismos-athletismos-kai-tourismos/arkhaiologikoi-khoroi-kai-politistike-kleronomia/psephiake-anabiose-tes-arkhaias-olumpias","Ψηφιακή αναβίωση της Αρχαίας Ολυμπίας")</f>
        <v>Ψηφιακή αναβίωση της Αρχαίας Ολυμπίας</v>
      </c>
      <c r="E1236" t="s">
        <v>47</v>
      </c>
    </row>
    <row r="1237" spans="1:5" x14ac:dyDescent="0.25">
      <c r="A1237">
        <v>16826</v>
      </c>
      <c r="B1237" t="s">
        <v>90</v>
      </c>
      <c r="C1237" t="s">
        <v>155</v>
      </c>
      <c r="D1237" t="str">
        <f>HYPERLINK("Https://www.gov.gr/ipiresies/politismos-athletismos-kai-tourismos/ekdoseis-kai-politistiko-periekhomeno/demosieuse-kheirographou-arkheiakou-ulikou","Δημοσίευση χειρογράφου / αρχειακού υλικού")</f>
        <v>Δημοσίευση χειρογράφου / αρχειακού υλικού</v>
      </c>
      <c r="E1237" t="s">
        <v>156</v>
      </c>
    </row>
    <row r="1238" spans="1:5" x14ac:dyDescent="0.25">
      <c r="A1238">
        <v>15697</v>
      </c>
      <c r="B1238" t="s">
        <v>90</v>
      </c>
      <c r="C1238" t="s">
        <v>155</v>
      </c>
      <c r="D1238" t="str">
        <f>HYPERLINK("Https://www.gov.gr/ipiresies/politismos-athletismos-kai-tourismos/ekdoseis-kai-politistiko-periekhomeno/demosios-katalogos-bibliothekon","Δημόσιος κατάλογος βιβλιοθηκών")</f>
        <v>Δημόσιος κατάλογος βιβλιοθηκών</v>
      </c>
      <c r="E1238" t="s">
        <v>157</v>
      </c>
    </row>
    <row r="1239" spans="1:5" x14ac:dyDescent="0.25">
      <c r="A1239">
        <v>15289</v>
      </c>
      <c r="B1239" t="s">
        <v>90</v>
      </c>
      <c r="C1239" t="s">
        <v>155</v>
      </c>
      <c r="D1239" t="str">
        <f>HYPERLINK("Https://www.gov.gr/ipiresies/politismos-athletismos-kai-tourismos/ekdoseis-kai-politistiko-periekhomeno/demosios-katalogos-ethnikes-bibliothekes-tes-ellados","Δημόσιος κατάλογος Εθνικής Βιβλιοθήκης της Ελλάδος")</f>
        <v>Δημόσιος κατάλογος Εθνικής Βιβλιοθήκης της Ελλάδος</v>
      </c>
      <c r="E1239" t="s">
        <v>156</v>
      </c>
    </row>
    <row r="1240" spans="1:5" x14ac:dyDescent="0.25">
      <c r="A1240">
        <v>15299</v>
      </c>
      <c r="B1240" t="s">
        <v>90</v>
      </c>
      <c r="C1240" t="s">
        <v>155</v>
      </c>
      <c r="D1240" t="str">
        <f>HYPERLINK("Https://www.gov.gr/ipiresies/politismos-athletismos-kai-tourismos/ekdoseis-kai-politistiko-periekhomeno/diktuake-pule-tou-heal-link","Δικτυακή πύλη του HEAL-Link")</f>
        <v>Δικτυακή πύλη του HEAL-Link</v>
      </c>
      <c r="E1240" t="s">
        <v>78</v>
      </c>
    </row>
    <row r="1241" spans="1:5" x14ac:dyDescent="0.25">
      <c r="A1241">
        <v>16827</v>
      </c>
      <c r="B1241" t="s">
        <v>90</v>
      </c>
      <c r="C1241" t="s">
        <v>155</v>
      </c>
      <c r="D1241" t="str">
        <f>HYPERLINK("Https://www.gov.gr/ipiresies/politismos-athletismos-kai-tourismos/ekdoseis-kai-politistiko-periekhomeno/dorea-sten-ethnike-bibliotheke-tes-ellados","Δωρεά στην Εθνική Βιβλιοθήκη της Ελλάδος")</f>
        <v>Δωρεά στην Εθνική Βιβλιοθήκη της Ελλάδος</v>
      </c>
      <c r="E1241" t="s">
        <v>156</v>
      </c>
    </row>
    <row r="1242" spans="1:5" x14ac:dyDescent="0.25">
      <c r="A1242">
        <v>15296</v>
      </c>
      <c r="B1242" t="s">
        <v>90</v>
      </c>
      <c r="C1242" t="s">
        <v>155</v>
      </c>
      <c r="D1242" t="str">
        <f>HYPERLINK("Https://www.gov.gr/ipiresies/politismos-athletismos-kai-tourismos/ekdoseis-kai-politistiko-periekhomeno/elleniko-kentro-arithmodoteses-isbn-issn-ismn","Ελληνικό κέντρο αριθμοδότησης ISBN-ISSN-ISMN")</f>
        <v>Ελληνικό κέντρο αριθμοδότησης ISBN-ISSN-ISMN</v>
      </c>
      <c r="E1242" t="s">
        <v>156</v>
      </c>
    </row>
    <row r="1243" spans="1:5" x14ac:dyDescent="0.25">
      <c r="A1243">
        <v>15698</v>
      </c>
      <c r="B1243" t="s">
        <v>90</v>
      </c>
      <c r="C1243" t="s">
        <v>155</v>
      </c>
      <c r="D1243" t="str">
        <f>HYPERLINK("Https://www.gov.gr/ipiresies/politismos-athletismos-kai-tourismos/ekdoseis-kai-politistiko-periekhomeno/elektronikes-ekdoseis-epublishing-periodika-praktika-sunedrion-monographies","Ηλεκτρονικές εκδόσεις ePublishing (περιοδικά, πρακτικά συνεδρίων, μονογραφίες)")</f>
        <v>Ηλεκτρονικές εκδόσεις ePublishing (περιοδικά, πρακτικά συνεδρίων, μονογραφίες)</v>
      </c>
      <c r="E1243" t="s">
        <v>157</v>
      </c>
    </row>
    <row r="1244" spans="1:5" x14ac:dyDescent="0.25">
      <c r="A1244">
        <v>15390</v>
      </c>
      <c r="B1244" t="s">
        <v>90</v>
      </c>
      <c r="C1244" t="s">
        <v>155</v>
      </c>
      <c r="D1244" t="str">
        <f>HYPERLINK("Https://www.gov.gr/ipiresies/politismos-athletismos-kai-tourismos/ekdoseis-kai-politistiko-periekhomeno/elektroniko-anagnosterio","Ηλεκτρονικό αναγνωστήριο")</f>
        <v>Ηλεκτρονικό αναγνωστήριο</v>
      </c>
      <c r="E1244" t="s">
        <v>156</v>
      </c>
    </row>
    <row r="1245" spans="1:5" x14ac:dyDescent="0.25">
      <c r="A1245">
        <v>15416</v>
      </c>
      <c r="B1245" t="s">
        <v>90</v>
      </c>
      <c r="C1245" t="s">
        <v>155</v>
      </c>
      <c r="D1245" t="str">
        <f>HYPERLINK("Https://www.gov.gr/ipiresies/politismos-athletismos-kai-tourismos/ekdoseis-kai-politistiko-periekhomeno/kombos-demosion-bibliothekon","Κόμβος δημοσίων βιβλιοθηκών")</f>
        <v>Κόμβος δημοσίων βιβλιοθηκών</v>
      </c>
      <c r="E1245" t="s">
        <v>156</v>
      </c>
    </row>
    <row r="1246" spans="1:5" x14ac:dyDescent="0.25">
      <c r="A1246">
        <v>16828</v>
      </c>
      <c r="B1246" t="s">
        <v>90</v>
      </c>
      <c r="C1246" t="s">
        <v>155</v>
      </c>
      <c r="D1246" t="str">
        <f>HYPERLINK("Https://www.gov.gr/ipiresies/politismos-athletismos-kai-tourismos/ekdoseis-kai-politistiko-periekhomeno/aitese-meletes-kheirographou-arkheiakou-ulikou","Μελέτη χειρογράφου / αρχειακού υλικού")</f>
        <v>Μελέτη χειρογράφου / αρχειακού υλικού</v>
      </c>
      <c r="E1246" t="s">
        <v>156</v>
      </c>
    </row>
    <row r="1247" spans="1:5" x14ac:dyDescent="0.25">
      <c r="A1247">
        <v>16275</v>
      </c>
      <c r="B1247" t="s">
        <v>90</v>
      </c>
      <c r="C1247" t="s">
        <v>155</v>
      </c>
      <c r="D1247" t="str">
        <f>HYPERLINK("Https://www.gov.gr/ipiresies/politismos-athletismos-kai-tourismos/ekdoseis-kai-politistiko-periekhomeno/metroo-kallitekhnon","Μητρώο καλλιτεχνών")</f>
        <v>Μητρώο καλλιτεχνών</v>
      </c>
      <c r="E1247" t="s">
        <v>47</v>
      </c>
    </row>
    <row r="1248" spans="1:5" x14ac:dyDescent="0.25">
      <c r="A1248">
        <v>15708</v>
      </c>
      <c r="B1248" t="s">
        <v>90</v>
      </c>
      <c r="C1248" t="s">
        <v>155</v>
      </c>
      <c r="D1248" t="str">
        <f>HYPERLINK("Https://www.gov.gr/ipiresies/politismos-athletismos-kai-tourismos/ekdoseis-kai-politistiko-periekhomeno/metroo-politistikon-phoreon","Μητρώο πολιτιστικών φορέων")</f>
        <v>Μητρώο πολιτιστικών φορέων</v>
      </c>
      <c r="E1248" t="s">
        <v>47</v>
      </c>
    </row>
    <row r="1249" spans="1:5" x14ac:dyDescent="0.25">
      <c r="A1249">
        <v>16829</v>
      </c>
      <c r="B1249" t="s">
        <v>90</v>
      </c>
      <c r="C1249" t="s">
        <v>155</v>
      </c>
      <c r="D1249" t="str">
        <f>HYPERLINK("Https://www.gov.gr/ipiresies/politismos-athletismos-kai-tourismos/ekdoseis-kai-politistiko-periekhomeno/ksenagese-sten-ethnike-bibliotheke-tes-ellados","Ξενάγηση στην Εθνική Βιβλιοθήκη της Ελλάδος")</f>
        <v>Ξενάγηση στην Εθνική Βιβλιοθήκη της Ελλάδος</v>
      </c>
      <c r="E1249" t="s">
        <v>156</v>
      </c>
    </row>
    <row r="1250" spans="1:5" x14ac:dyDescent="0.25">
      <c r="A1250">
        <v>16830</v>
      </c>
      <c r="B1250" t="s">
        <v>90</v>
      </c>
      <c r="C1250" t="s">
        <v>155</v>
      </c>
      <c r="D1250" t="str">
        <f>HYPERLINK("Https://www.gov.gr/ipiresies/politismos-athletismos-kai-tourismos/ekdoseis-kai-politistiko-periekhomeno/summetokhe-se-ekpaideutiko-programma-tes-ethnikes-bibliothekes-tes-ellados","Συμμετοχή σε εκπαιδευτικό πρόγραμμα της Εθνικής Βιβλιοθήκης της Ελλάδος")</f>
        <v>Συμμετοχή σε εκπαιδευτικό πρόγραμμα της Εθνικής Βιβλιοθήκης της Ελλάδος</v>
      </c>
      <c r="E1250" t="s">
        <v>156</v>
      </c>
    </row>
    <row r="1251" spans="1:5" x14ac:dyDescent="0.25">
      <c r="A1251">
        <v>15695</v>
      </c>
      <c r="B1251" t="s">
        <v>90</v>
      </c>
      <c r="C1251" t="s">
        <v>155</v>
      </c>
      <c r="D1251" t="str">
        <f>HYPERLINK("Https://www.gov.gr/ipiresies/politismos-athletismos-kai-tourismos/ekdoseis-kai-politistiko-periekhomeno/sussoreutes-epistemonikou-periekhomenou","Συσσωρευτής επιστημονικού περιεχομένου")</f>
        <v>Συσσωρευτής επιστημονικού περιεχομένου</v>
      </c>
      <c r="E1251" t="s">
        <v>157</v>
      </c>
    </row>
    <row r="1252" spans="1:5" x14ac:dyDescent="0.25">
      <c r="A1252">
        <v>15694</v>
      </c>
      <c r="B1252" t="s">
        <v>90</v>
      </c>
      <c r="C1252" t="s">
        <v>155</v>
      </c>
      <c r="D1252" t="str">
        <f>HYPERLINK("Https://www.gov.gr/ipiresies/politismos-athletismos-kai-tourismos/ekdoseis-kai-politistiko-periekhomeno/sussoreutes-politistikou-periekhomenou","Συσσωρευτής πολιτιστικού περιεχομένου")</f>
        <v>Συσσωρευτής πολιτιστικού περιεχομένου</v>
      </c>
      <c r="E1252" t="s">
        <v>157</v>
      </c>
    </row>
    <row r="1253" spans="1:5" x14ac:dyDescent="0.25">
      <c r="A1253">
        <v>16831</v>
      </c>
      <c r="B1253" t="s">
        <v>90</v>
      </c>
      <c r="C1253" t="s">
        <v>155</v>
      </c>
      <c r="D1253" t="str">
        <f>HYPERLINK("Https://www.gov.gr/ipiresies/politismos-athletismos-kai-tourismos/ekdoseis-kai-politistiko-periekhomeno/khoregese-antigraphou-pneumatikes-idioktesias","Χορήγηση αντιγράφου πνευματικής ιδιοκτησίας")</f>
        <v>Χορήγηση αντιγράφου πνευματικής ιδιοκτησίας</v>
      </c>
      <c r="E1253" t="s">
        <v>156</v>
      </c>
    </row>
    <row r="1254" spans="1:5" x14ac:dyDescent="0.25">
      <c r="A1254">
        <v>16832</v>
      </c>
      <c r="B1254" t="s">
        <v>90</v>
      </c>
      <c r="C1254" t="s">
        <v>155</v>
      </c>
      <c r="D1254" t="str">
        <f>HYPERLINK("Https://www.gov.gr/ipiresies/politismos-athletismos-kai-tourismos/ekdoseis-kai-politistiko-periekhomeno/khoregese-psephiakon-antigraphon-tes-ethnikes-bibliothekes-tes-ellados","Χορήγηση ψηφιακών αντιγράφων της Εθνικής Βιβλιοθήκης της Ελλάδος")</f>
        <v>Χορήγηση ψηφιακών αντιγράφων της Εθνικής Βιβλιοθήκης της Ελλάδος</v>
      </c>
      <c r="E1254" t="s">
        <v>156</v>
      </c>
    </row>
    <row r="1255" spans="1:5" x14ac:dyDescent="0.25">
      <c r="A1255">
        <v>16833</v>
      </c>
      <c r="B1255" t="s">
        <v>90</v>
      </c>
      <c r="C1255" t="s">
        <v>155</v>
      </c>
      <c r="D1255" t="str">
        <f>HYPERLINK("Https://www.gov.gr/ipiresies/politismos-athletismos-kai-tourismos/ekdoseis-kai-politistiko-periekhomeno/khrese-khoron-kterion-tes-ethnikes-bibliothekes-tes-ellados","Χρήση χώρων κτηρίων της Εθνικής Βιβλιοθήκης της Ελλάδος")</f>
        <v>Χρήση χώρων κτηρίων της Εθνικής Βιβλιοθήκης της Ελλάδος</v>
      </c>
      <c r="E1255" t="s">
        <v>156</v>
      </c>
    </row>
    <row r="1256" spans="1:5" x14ac:dyDescent="0.25">
      <c r="A1256">
        <v>15696</v>
      </c>
      <c r="B1256" t="s">
        <v>90</v>
      </c>
      <c r="C1256" t="s">
        <v>155</v>
      </c>
      <c r="D1256" t="str">
        <f>HYPERLINK("Https://www.gov.gr/ipiresies/politismos-athletismos-kai-tourismos/ekdoseis-kai-politistiko-periekhomeno/psephiake-bibliotheke-epistemes-tekhnologias-kai-politismou","Ψηφιακή Βιβλιοθήκη Επιστήμης, Τεχνολογίας και Πολιτισμού")</f>
        <v>Ψηφιακή Βιβλιοθήκη Επιστήμης, Τεχνολογίας και Πολιτισμού</v>
      </c>
      <c r="E1256" t="s">
        <v>157</v>
      </c>
    </row>
    <row r="1257" spans="1:5" x14ac:dyDescent="0.25">
      <c r="A1257">
        <v>15566</v>
      </c>
      <c r="B1257" t="s">
        <v>90</v>
      </c>
      <c r="C1257" t="s">
        <v>155</v>
      </c>
      <c r="D1257" t="str">
        <f>HYPERLINK("Https://www.gov.gr/ipiresies/politismos-athletismos-kai-tourismos/ekdoseis-kai-politistiko-periekhomeno/psephiake-bibliotheke-ephemeridon-kai-periodikou-tupou","Ψηφιακή βιβλιοθήκη εφημερίδων και περιοδικού τύπου")</f>
        <v>Ψηφιακή βιβλιοθήκη εφημερίδων και περιοδικού τύπου</v>
      </c>
      <c r="E1257" t="s">
        <v>156</v>
      </c>
    </row>
    <row r="1258" spans="1:5" x14ac:dyDescent="0.25">
      <c r="A1258">
        <v>16834</v>
      </c>
      <c r="B1258" t="s">
        <v>90</v>
      </c>
      <c r="C1258" t="s">
        <v>155</v>
      </c>
      <c r="D1258" t="str">
        <f>HYPERLINK("Https://www.gov.gr/ipiresies/politismos-athletismos-kai-tourismos/ekdoseis-kai-politistiko-periekhomeno/psephiopoiese-kheirographou-arkheiakou-ulikou","Ψηφιοποιήση χειρογράφου / αρχειακού υλικού")</f>
        <v>Ψηφιοποιήση χειρογράφου / αρχειακού υλικού</v>
      </c>
      <c r="E1258" t="s">
        <v>156</v>
      </c>
    </row>
    <row r="1259" spans="1:5" x14ac:dyDescent="0.25">
      <c r="A1259">
        <v>16327</v>
      </c>
      <c r="B1259" t="s">
        <v>90</v>
      </c>
      <c r="C1259" t="s">
        <v>161</v>
      </c>
      <c r="D1259" t="str">
        <f>HYPERLINK("Https://www.gov.gr/ipiresies/politismos-athletismos-kai-tourismos/somateia/dialuse-e-sugkhoneuse-kai-ekkatharise-athletikou-somateiou","Διάλυση ή συγχώνευση και εκκαθάριση αθλητικού σωματείου")</f>
        <v>Διάλυση ή συγχώνευση και εκκαθάριση αθλητικού σωματείου</v>
      </c>
      <c r="E1259" t="s">
        <v>31</v>
      </c>
    </row>
    <row r="1260" spans="1:5" x14ac:dyDescent="0.25">
      <c r="A1260">
        <v>16328</v>
      </c>
      <c r="B1260" t="s">
        <v>90</v>
      </c>
      <c r="C1260" t="s">
        <v>161</v>
      </c>
      <c r="D1260" t="str">
        <f>HYPERLINK("Https://www.gov.gr/ipiresies/politismos-athletismos-kai-tourismos/somateia/dialuse-somateiou-allon-skopon","Διάλυση σωματείου άλλων σκοπών")</f>
        <v>Διάλυση σωματείου άλλων σκοπών</v>
      </c>
      <c r="E1260" t="s">
        <v>31</v>
      </c>
    </row>
    <row r="1261" spans="1:5" x14ac:dyDescent="0.25">
      <c r="A1261">
        <v>16331</v>
      </c>
      <c r="B1261" t="s">
        <v>90</v>
      </c>
      <c r="C1261" t="s">
        <v>161</v>
      </c>
      <c r="D1261" t="str">
        <f>HYPERLINK("Https://www.gov.gr/ipiresies/politismos-athletismos-kai-tourismos/somateia/epopteia-athletikou-somateiou-enoses-omospondias","Εποπτεία αθλητικού σωματείου / ένωσης / ομοσπονδίας")</f>
        <v>Εποπτεία αθλητικού σωματείου / ένωσης / ομοσπονδίας</v>
      </c>
      <c r="E1261" t="s">
        <v>31</v>
      </c>
    </row>
    <row r="1262" spans="1:5" x14ac:dyDescent="0.25">
      <c r="A1262">
        <v>16329</v>
      </c>
      <c r="B1262" t="s">
        <v>90</v>
      </c>
      <c r="C1262" t="s">
        <v>161</v>
      </c>
      <c r="D1262" t="str">
        <f>HYPERLINK("Https://www.gov.gr/ipiresies/politismos-athletismos-kai-tourismos/somateia/epopteia-athletikou-somateiou-meta-apo-sugkhoneuse","Εποπτεία αθλητικού σωματείου μετά από συγχώνευση")</f>
        <v>Εποπτεία αθλητικού σωματείου μετά από συγχώνευση</v>
      </c>
      <c r="E1262" t="s">
        <v>31</v>
      </c>
    </row>
    <row r="1263" spans="1:5" x14ac:dyDescent="0.25">
      <c r="A1263">
        <v>16330</v>
      </c>
      <c r="B1263" t="s">
        <v>90</v>
      </c>
      <c r="C1263" t="s">
        <v>161</v>
      </c>
      <c r="D1263" t="str">
        <f>HYPERLINK("Https://www.gov.gr/ipiresies/politismos-athletismos-kai-tourismos/somateia/epopteia-athletikou-somateiou-skopoboles","Εποπτεία αθλητικού σωματείου σκοποβολής")</f>
        <v>Εποπτεία αθλητικού σωματείου σκοποβολής</v>
      </c>
      <c r="E1263" t="s">
        <v>31</v>
      </c>
    </row>
    <row r="1264" spans="1:5" x14ac:dyDescent="0.25">
      <c r="A1264">
        <v>16332</v>
      </c>
      <c r="B1264" t="s">
        <v>90</v>
      </c>
      <c r="C1264" t="s">
        <v>161</v>
      </c>
      <c r="D1264" t="str">
        <f>HYPERLINK("Https://www.gov.gr/ipiresies/politismos-athletismos-kai-tourismos/somateia/epopteia-somateion-allou-skopou","Εποπτεία σωματείων άλλου σκοπού")</f>
        <v>Εποπτεία σωματείων άλλου σκοπού</v>
      </c>
      <c r="E1264" t="s">
        <v>31</v>
      </c>
    </row>
    <row r="1265" spans="1:5" x14ac:dyDescent="0.25">
      <c r="A1265">
        <v>16464</v>
      </c>
      <c r="B1265" t="s">
        <v>90</v>
      </c>
      <c r="C1265" t="s">
        <v>161</v>
      </c>
      <c r="D1265" t="str">
        <f>HYPERLINK("Https://www.gov.gr/ipiresies/politismos-athletismos-kai-tourismos/somateia/idruse-politistikou-athletikou-somateiou","Ίδρυση πολιτιστικού / αθλητικού σωματείου")</f>
        <v>Ίδρυση πολιτιστικού / αθλητικού σωματείου</v>
      </c>
      <c r="E1265" t="s">
        <v>41</v>
      </c>
    </row>
    <row r="1266" spans="1:5" x14ac:dyDescent="0.25">
      <c r="A1266">
        <v>16333</v>
      </c>
      <c r="B1266" t="s">
        <v>90</v>
      </c>
      <c r="C1266" t="s">
        <v>161</v>
      </c>
      <c r="D1266" t="str">
        <f>HYPERLINK("Https://www.gov.gr/ipiresies/politismos-athletismos-kai-tourismos/somateia/katathese-dioiketikon-kai-oikonomikon-stoikheion-athletikou-somateiou","Κατάθεση διοικητικών και οικονομικών στοιχείων αθλητικού σωματείου")</f>
        <v>Κατάθεση διοικητικών και οικονομικών στοιχείων αθλητικού σωματείου</v>
      </c>
      <c r="E1266" t="s">
        <v>31</v>
      </c>
    </row>
    <row r="1267" spans="1:5" x14ac:dyDescent="0.25">
      <c r="A1267">
        <v>16334</v>
      </c>
      <c r="B1267" t="s">
        <v>90</v>
      </c>
      <c r="C1267" t="s">
        <v>161</v>
      </c>
      <c r="D1267" t="str">
        <f>HYPERLINK("Https://www.gov.gr/ipiresies/politismos-athletismos-kai-tourismos/somateia/katathese-dioiketikon-kai-oikonomikon-stoikheion-somateiou-allou-skopou","Κατάθεση διοικητικών και οικονομικών στοιχείων σωματείου άλλου σκοπού")</f>
        <v>Κατάθεση διοικητικών και οικονομικών στοιχείων σωματείου άλλου σκοπού</v>
      </c>
      <c r="E1267" t="s">
        <v>31</v>
      </c>
    </row>
    <row r="1268" spans="1:5" x14ac:dyDescent="0.25">
      <c r="A1268">
        <v>15728</v>
      </c>
      <c r="B1268" t="s">
        <v>90</v>
      </c>
      <c r="C1268" t="s">
        <v>187</v>
      </c>
      <c r="D1268" t="str">
        <f>HYPERLINK("Https://www.gov.gr/ipiresies/politismos-athletismos-kai-tourismos/tourismos/tourismos-gia-olous","Τουρισμός για όλους")</f>
        <v>Τουρισμός για όλους</v>
      </c>
      <c r="E1268" t="s">
        <v>188</v>
      </c>
    </row>
    <row r="1269" spans="1:5" x14ac:dyDescent="0.25">
      <c r="A1269">
        <v>16659</v>
      </c>
      <c r="B1269" t="s">
        <v>69</v>
      </c>
      <c r="C1269" t="s">
        <v>85</v>
      </c>
      <c r="D1269" t="str">
        <f>HYPERLINK("Https://www.gov.gr/ipiresies/strateuse/anabole-diakope-strateuses/anabole-katataxes-gia-apoktese-thalassias-uperesias","Αναβολή κατάταξης για απόκτηση θαλάσσιας υπηρεσίας")</f>
        <v>Αναβολή κατάταξης για απόκτηση θαλάσσιας υπηρεσίας</v>
      </c>
      <c r="E1269" t="s">
        <v>71</v>
      </c>
    </row>
    <row r="1270" spans="1:5" x14ac:dyDescent="0.25">
      <c r="A1270">
        <v>16576</v>
      </c>
      <c r="B1270" t="s">
        <v>69</v>
      </c>
      <c r="C1270" t="s">
        <v>85</v>
      </c>
      <c r="D1270" t="str">
        <f>HYPERLINK("Https://www.gov.gr/ipiresies/strateuse/anabole-diakope-strateuses/anabole-katataxes-gia-apoktese-iatrikes-eidikotetas","Αναβολή κατάταξης για απόκτηση ιατρικής ειδικότητας")</f>
        <v>Αναβολή κατάταξης για απόκτηση ιατρικής ειδικότητας</v>
      </c>
      <c r="E1270" t="s">
        <v>71</v>
      </c>
    </row>
    <row r="1271" spans="1:5" x14ac:dyDescent="0.25">
      <c r="A1271">
        <v>16578</v>
      </c>
      <c r="B1271" t="s">
        <v>69</v>
      </c>
      <c r="C1271" t="s">
        <v>85</v>
      </c>
      <c r="D1271" t="str">
        <f>HYPERLINK("Https://www.gov.gr/ipiresies/strateuse/anabole-diakope-strateuses/anabole-katataxes-gia-osous-ekhoun-ellenike-kai-germanike-upekooteta","Αναβολή κατάταξης για όσους έχουν Ελληνική και Γερμανική υπηκοότητα")</f>
        <v>Αναβολή κατάταξης για όσους έχουν Ελληνική και Γερμανική υπηκοότητα</v>
      </c>
      <c r="E1271" t="s">
        <v>71</v>
      </c>
    </row>
    <row r="1272" spans="1:5" x14ac:dyDescent="0.25">
      <c r="A1272">
        <v>16611</v>
      </c>
      <c r="B1272" t="s">
        <v>69</v>
      </c>
      <c r="C1272" t="s">
        <v>85</v>
      </c>
      <c r="D1272" t="str">
        <f>HYPERLINK("Https://www.gov.gr/ipiresies/strateuse/anabole-diakope-strateuses/anabole-katataxes-logo-therapeutikes-agoges-se-kentra-therapeias-exartemenon-apo-narkotikes-ousies","Αναβολή κατάταξης λόγω θεραπευτικής αγωγής σε κέντρα θεραπείας εξαρτημένων από ναρκωτικές ουσίες")</f>
        <v>Αναβολή κατάταξης λόγω θεραπευτικής αγωγής σε κέντρα θεραπείας εξαρτημένων από ναρκωτικές ουσίες</v>
      </c>
      <c r="E1272" t="s">
        <v>71</v>
      </c>
    </row>
    <row r="1273" spans="1:5" x14ac:dyDescent="0.25">
      <c r="A1273">
        <v>16574</v>
      </c>
      <c r="B1273" t="s">
        <v>69</v>
      </c>
      <c r="C1273" t="s">
        <v>85</v>
      </c>
      <c r="D1273" t="str">
        <f>HYPERLINK("Https://www.gov.gr/ipiresies/strateuse/anabole-diakope-strateuses/anabole-katataxes-logo-uperetountos-adelphou","Αναβολή κατάταξης λόγω υπηρετούντος αδελφού")</f>
        <v>Αναβολή κατάταξης λόγω υπηρετούντος αδελφού</v>
      </c>
      <c r="E1273" t="s">
        <v>71</v>
      </c>
    </row>
    <row r="1274" spans="1:5" x14ac:dyDescent="0.25">
      <c r="A1274">
        <v>16572</v>
      </c>
      <c r="B1274" t="s">
        <v>69</v>
      </c>
      <c r="C1274" t="s">
        <v>85</v>
      </c>
      <c r="D1274" t="str">
        <f>HYPERLINK("Https://www.gov.gr/ipiresies/strateuse/anabole-diakope-strateuses/anabole-katataxes-nautologemenon","Αναβολή κατάταξης ναυτολογημένων")</f>
        <v>Αναβολή κατάταξης ναυτολογημένων</v>
      </c>
      <c r="E1274" t="s">
        <v>71</v>
      </c>
    </row>
    <row r="1275" spans="1:5" x14ac:dyDescent="0.25">
      <c r="A1275">
        <v>16454</v>
      </c>
      <c r="B1275" t="s">
        <v>69</v>
      </c>
      <c r="C1275" t="s">
        <v>85</v>
      </c>
      <c r="D1275" t="str">
        <f>HYPERLINK("Https://www.gov.gr/ipiresies/strateuse/anabole-diakope-strateuses/anabole-katataxes-politographethenton","Αναβολή κατάταξης πολιτογραφηθέντων")</f>
        <v>Αναβολή κατάταξης πολιτογραφηθέντων</v>
      </c>
      <c r="E1275" t="s">
        <v>71</v>
      </c>
    </row>
    <row r="1276" spans="1:5" x14ac:dyDescent="0.25">
      <c r="A1276">
        <v>16607</v>
      </c>
      <c r="B1276" t="s">
        <v>69</v>
      </c>
      <c r="C1276" t="s">
        <v>85</v>
      </c>
      <c r="D1276" t="str">
        <f>HYPERLINK("Https://www.gov.gr/ipiresies/strateuse/anabole-diakope-strateuses/anabole-katataxes-se-kratoumenous-apoluthentes-upo-orous","Αναβολή κατάταξης σε κρατούμενους - απολυθέντες υπό όρους")</f>
        <v>Αναβολή κατάταξης σε κρατούμενους - απολυθέντες υπό όρους</v>
      </c>
      <c r="E1276" t="s">
        <v>71</v>
      </c>
    </row>
    <row r="1277" spans="1:5" x14ac:dyDescent="0.25">
      <c r="A1277">
        <v>16606</v>
      </c>
      <c r="B1277" t="s">
        <v>69</v>
      </c>
      <c r="C1277" t="s">
        <v>85</v>
      </c>
      <c r="D1277" t="str">
        <f>HYPERLINK("Https://www.gov.gr/ipiresies/strateuse/anabole-diakope-strateuses/anabole-katataxes-se-uperetountes-stis-taktikes-enoples-dunameis-xenou-kratous","Αναβολή κατάταξης σε υπηρετούντες στις τακτικές ένοπλες δυνάμεις ξένου κράτους")</f>
        <v>Αναβολή κατάταξης σε υπηρετούντες στις τακτικές ένοπλες δυνάμεις ξένου κράτους</v>
      </c>
      <c r="E1277" t="s">
        <v>71</v>
      </c>
    </row>
    <row r="1278" spans="1:5" x14ac:dyDescent="0.25">
      <c r="A1278">
        <v>16357</v>
      </c>
      <c r="B1278" t="s">
        <v>69</v>
      </c>
      <c r="C1278" t="s">
        <v>85</v>
      </c>
      <c r="D1278" t="str">
        <f>HYPERLINK("Https://www.gov.gr/ipiresies/strateuse/anabole-diakope-strateuses/anabole-katataxes-strateuses-gia-koinonikous-logous","Αναβολή κατάταξης στράτευσης για  κοινωνικούς λόγους")</f>
        <v>Αναβολή κατάταξης στράτευσης για  κοινωνικούς λόγους</v>
      </c>
      <c r="E1278" t="s">
        <v>71</v>
      </c>
    </row>
    <row r="1279" spans="1:5" x14ac:dyDescent="0.25">
      <c r="A1279">
        <v>16358</v>
      </c>
      <c r="B1279" t="s">
        <v>69</v>
      </c>
      <c r="C1279" t="s">
        <v>85</v>
      </c>
      <c r="D1279" t="str">
        <f>HYPERLINK("Https://www.gov.gr/ipiresies/strateuse/anabole-diakope-strateuses/anabole-katataxes-strateuses-gia-ten-apoktese-didaktorikou-diplomatos","Αναβολή κατάταξης στράτευσης για την απόκτηση διδακτορικού διπλώματος")</f>
        <v>Αναβολή κατάταξης στράτευσης για την απόκτηση διδακτορικού διπλώματος</v>
      </c>
      <c r="E1279" t="s">
        <v>71</v>
      </c>
    </row>
    <row r="1280" spans="1:5" x14ac:dyDescent="0.25">
      <c r="A1280">
        <v>15893</v>
      </c>
      <c r="B1280" t="s">
        <v>69</v>
      </c>
      <c r="C1280" t="s">
        <v>85</v>
      </c>
      <c r="D1280" t="str">
        <f>HYPERLINK("Https://www.gov.gr/ipiresies/strateuse/anabole-diakope-strateuses/anabole-katataxes-strateuses-gia-upopsephious-spoudastes-anoteron-anotaton-skholon","Αναβολή κατάταξης στράτευσης για υποψήφιους σπουδαστές ανώτερων / ανώτατων σχολών")</f>
        <v>Αναβολή κατάταξης στράτευσης για υποψήφιους σπουδαστές ανώτερων / ανώτατων σχολών</v>
      </c>
      <c r="E1280" t="s">
        <v>71</v>
      </c>
    </row>
    <row r="1281" spans="1:5" x14ac:dyDescent="0.25">
      <c r="A1281">
        <v>15890</v>
      </c>
      <c r="B1281" t="s">
        <v>69</v>
      </c>
      <c r="C1281" t="s">
        <v>85</v>
      </c>
      <c r="D1281" t="str">
        <f>HYPERLINK("Https://www.gov.gr/ipiresies/strateuse/anabole-diakope-strateuses/anabole-katataxes-strateuses-logo-spoudon-se-anotere-anotate-skhole-gia-kuries-metaptukhikes-spoudes-e-se-kentro-metalukeiakes-ekpaideuses","Αναβολή κατάταξης στράτευσης λόγω σπουδών σε ανώτερη / ανώτατη σχολή για κύριες / μεταπτυχιακές σπουδές ή σε κέντρο μεταλυκειακής εκπαίδευσης")</f>
        <v>Αναβολή κατάταξης στράτευσης λόγω σπουδών σε ανώτερη / ανώτατη σχολή για κύριες / μεταπτυχιακές σπουδές ή σε κέντρο μεταλυκειακής εκπαίδευσης</v>
      </c>
      <c r="E1281" t="s">
        <v>71</v>
      </c>
    </row>
    <row r="1282" spans="1:5" x14ac:dyDescent="0.25">
      <c r="A1282">
        <v>15892</v>
      </c>
      <c r="B1282" t="s">
        <v>69</v>
      </c>
      <c r="C1282" t="s">
        <v>85</v>
      </c>
      <c r="D1282" t="str">
        <f>HYPERLINK("Https://www.gov.gr/ipiresies/strateuse/anabole-diakope-strateuses/anabole-katataxes-strateuses-logo-spoudon-se-lukeio-skholeio-deuteres-eukairias-gumnasio-eidikes-agoges-kai-ekpaideuses","Αναβολή κατάταξης στράτευσης λόγω σπουδών σε λύκειο / σχολείο δεύτερης ευκαιρίας / γυμνάσιο ειδικής αγωγής και εκπαίδευσης")</f>
        <v>Αναβολή κατάταξης στράτευσης λόγω σπουδών σε λύκειο / σχολείο δεύτερης ευκαιρίας / γυμνάσιο ειδικής αγωγής και εκπαίδευσης</v>
      </c>
      <c r="E1282" t="s">
        <v>71</v>
      </c>
    </row>
    <row r="1283" spans="1:5" x14ac:dyDescent="0.25">
      <c r="A1283">
        <v>15891</v>
      </c>
      <c r="B1283" t="s">
        <v>69</v>
      </c>
      <c r="C1283" t="s">
        <v>85</v>
      </c>
      <c r="D1283" t="str">
        <f>HYPERLINK("Https://www.gov.gr/ipiresies/strateuse/anabole-diakope-strateuses/anabole-katataxes-strateuses-logo-spoudon-se-skhole-deuterobathmias-ekpaideuses-esperino-lukeio-metalukeiako-etos-iek-taxe-matheteias-epal-e-sek","Αναβολή κατάταξης στράτευσης λόγω σπουδών σε σχολή δευτεροβάθμιας εκπαίδευσης / εσπερινό λύκειο / μεταλυκειακό έτος / ΙΕΚ / τάξη μαθητείας ΕΠΑΛ ή ΣΕΚ")</f>
        <v>Αναβολή κατάταξης στράτευσης λόγω σπουδών σε σχολή δευτεροβάθμιας εκπαίδευσης / εσπερινό λύκειο / μεταλυκειακό έτος / ΙΕΚ / τάξη μαθητείας ΕΠΑΛ ή ΣΕΚ</v>
      </c>
      <c r="E1283" t="s">
        <v>71</v>
      </c>
    </row>
    <row r="1284" spans="1:5" x14ac:dyDescent="0.25">
      <c r="A1284">
        <v>16587</v>
      </c>
      <c r="B1284" t="s">
        <v>69</v>
      </c>
      <c r="C1284" t="s">
        <v>85</v>
      </c>
      <c r="D1284" t="str">
        <f>HYPERLINK("Https://www.gov.gr/ipiresies/strateuse/anabole-diakope-strateuses/anabole-katataxes-os-ereunetes-tou-europaikou-organismou-purenikon-ereunon-cern","Αναβολή κατάταξης ως ερευνητής του Ευρωπαϊκού Οργανισμού Πυρηνικών Ερευνών (CERN)")</f>
        <v>Αναβολή κατάταξης ως ερευνητής του Ευρωπαϊκού Οργανισμού Πυρηνικών Ερευνών (CERN)</v>
      </c>
      <c r="E1284" t="s">
        <v>71</v>
      </c>
    </row>
    <row r="1285" spans="1:5" x14ac:dyDescent="0.25">
      <c r="A1285">
        <v>16588</v>
      </c>
      <c r="B1285" t="s">
        <v>69</v>
      </c>
      <c r="C1285" t="s">
        <v>85</v>
      </c>
      <c r="D1285" t="str">
        <f>HYPERLINK("Https://www.gov.gr/ipiresies/strateuse/anabole-diakope-strateuses/anabole-katataxes-os-pateras-duo-zonton-teknon-aphora-arkhike-prosklese-klases","Αναβολή κατάταξης ως πατέρας δύο ζώντων τέκνων (αφορά αρχική πρόσκληση κλάσης)")</f>
        <v>Αναβολή κατάταξης ως πατέρας δύο ζώντων τέκνων (αφορά αρχική πρόσκληση κλάσης)</v>
      </c>
      <c r="E1285" t="s">
        <v>71</v>
      </c>
    </row>
    <row r="1286" spans="1:5" x14ac:dyDescent="0.25">
      <c r="A1286">
        <v>16664</v>
      </c>
      <c r="B1286" t="s">
        <v>69</v>
      </c>
      <c r="C1286" t="s">
        <v>85</v>
      </c>
      <c r="D1286" t="str">
        <f>HYPERLINK("Https://www.gov.gr/ipiresies/strateuse/anabole-diakope-strateuses/anabole-katataxes-os-upopsephios-se-ekloges","Αναβολή κατάταξης ως υποψήφιος σε εκλογές")</f>
        <v>Αναβολή κατάταξης ως υποψήφιος σε εκλογές</v>
      </c>
      <c r="E1286" t="s">
        <v>71</v>
      </c>
    </row>
    <row r="1287" spans="1:5" x14ac:dyDescent="0.25">
      <c r="A1287">
        <v>16575</v>
      </c>
      <c r="B1287" t="s">
        <v>69</v>
      </c>
      <c r="C1287" t="s">
        <v>85</v>
      </c>
      <c r="D1287" t="str">
        <f>HYPERLINK("Https://www.gov.gr/ipiresies/strateuse/anabole-diakope-strateuses/anabole-logo-adelphou-pou-kaleitai-gia-katataxe-ton-idio-mena","Αναβολή λόγω αδελφού που καλείται για κατάταξη τον ίδιο μήνα")</f>
        <v>Αναβολή λόγω αδελφού που καλείται για κατάταξη τον ίδιο μήνα</v>
      </c>
      <c r="E1287" t="s">
        <v>71</v>
      </c>
    </row>
    <row r="1288" spans="1:5" x14ac:dyDescent="0.25">
      <c r="A1288">
        <v>16436</v>
      </c>
      <c r="B1288" t="s">
        <v>69</v>
      </c>
      <c r="C1288" t="s">
        <v>85</v>
      </c>
      <c r="D1288" t="str">
        <f>HYPERLINK("Https://www.gov.gr/ipiresies/strateuse/anabole-diakope-strateuses/anabole-strateuses-monimou-katoikou-exoterikou","Αναβολή στράτευσης μόνιμου κάτοικου εξωτερικού")</f>
        <v>Αναβολή στράτευσης μόνιμου κάτοικου εξωτερικού</v>
      </c>
      <c r="E1288" t="s">
        <v>71</v>
      </c>
    </row>
    <row r="1289" spans="1:5" x14ac:dyDescent="0.25">
      <c r="A1289">
        <v>16586</v>
      </c>
      <c r="B1289" t="s">
        <v>69</v>
      </c>
      <c r="C1289" t="s">
        <v>85</v>
      </c>
      <c r="D1289" t="str">
        <f>HYPERLINK("Https://www.gov.gr/ipiresies/strateuse/anabole-diakope-strateuses/anabole-os-noseleuomenos","Αναβολή ως νοσηλευόμενος")</f>
        <v>Αναβολή ως νοσηλευόμενος</v>
      </c>
      <c r="E1289" t="s">
        <v>71</v>
      </c>
    </row>
    <row r="1290" spans="1:5" x14ac:dyDescent="0.25">
      <c r="A1290">
        <v>16755</v>
      </c>
      <c r="B1290" t="s">
        <v>69</v>
      </c>
      <c r="C1290" t="s">
        <v>85</v>
      </c>
      <c r="D1290" t="str">
        <f>HYPERLINK("Https://www.gov.gr/ipiresies/strateuse/anabole-diakope-strateuses/anabole-os-upallelos-tou-oee-eidikeumenon-organismon-enomenon-ethnon","Αναβολή ως υπάλληλος του ΟΗΕ / ειδικευμένων Οργανισμών Ηνωμένων Εθνών")</f>
        <v>Αναβολή ως υπάλληλος του ΟΗΕ / ειδικευμένων Οργανισμών Ηνωμένων Εθνών</v>
      </c>
      <c r="E1290" t="s">
        <v>71</v>
      </c>
    </row>
    <row r="1291" spans="1:5" x14ac:dyDescent="0.25">
      <c r="A1291">
        <v>16671</v>
      </c>
      <c r="B1291" t="s">
        <v>69</v>
      </c>
      <c r="C1291" t="s">
        <v>85</v>
      </c>
      <c r="D1291" t="str">
        <f>HYPERLINK("Https://www.gov.gr/ipiresies/strateuse/anabole-diakope-strateuses/anaklese-diakopes-anaboles","Ανάκληση διακοπής αναβολής")</f>
        <v>Ανάκληση διακοπής αναβολής</v>
      </c>
      <c r="E1291" t="s">
        <v>71</v>
      </c>
    </row>
    <row r="1292" spans="1:5" x14ac:dyDescent="0.25">
      <c r="A1292">
        <v>16697</v>
      </c>
      <c r="B1292" t="s">
        <v>69</v>
      </c>
      <c r="C1292" t="s">
        <v>85</v>
      </c>
      <c r="D1292" t="str">
        <f>HYPERLINK("Https://www.gov.gr/ipiresies/strateuse/anabole-diakope-strateuses/diakope-anaboles-katataxes-atomon-upo-therapeutike-agoge-kethea","Διακοπή αναβολής κατάταξης ατόμων υπό θεραπευτική αγωγή ΚΕΘΕΑ")</f>
        <v>Διακοπή αναβολής κατάταξης ατόμων υπό θεραπευτική αγωγή ΚΕΘΕΑ</v>
      </c>
      <c r="E1292" t="s">
        <v>71</v>
      </c>
    </row>
    <row r="1293" spans="1:5" x14ac:dyDescent="0.25">
      <c r="A1293">
        <v>16663</v>
      </c>
      <c r="B1293" t="s">
        <v>69</v>
      </c>
      <c r="C1293" t="s">
        <v>85</v>
      </c>
      <c r="D1293" t="str">
        <f>HYPERLINK("Https://www.gov.gr/ipiresies/strateuse/anabole-diakope-strateuses/diakope-anaboles-katataxes-gia-apoktese-thalassias-uperesias","Διακοπή αναβολής κατάταξης για απόκτηση θαλάσσιας υπηρεσίας")</f>
        <v>Διακοπή αναβολής κατάταξης για απόκτηση θαλάσσιας υπηρεσίας</v>
      </c>
      <c r="E1293" t="s">
        <v>71</v>
      </c>
    </row>
    <row r="1294" spans="1:5" x14ac:dyDescent="0.25">
      <c r="A1294">
        <v>16577</v>
      </c>
      <c r="B1294" t="s">
        <v>69</v>
      </c>
      <c r="C1294" t="s">
        <v>85</v>
      </c>
      <c r="D1294" t="str">
        <f>HYPERLINK("Https://www.gov.gr/ipiresies/strateuse/anabole-diakope-strateuses/diakope-anaboles-katataxes-gia-apoktese-iatrikes-eidikotetas","Διακοπή αναβολής κατάταξης για απόκτηση ιατρικής ειδικότητας")</f>
        <v>Διακοπή αναβολής κατάταξης για απόκτηση ιατρικής ειδικότητας</v>
      </c>
      <c r="E1294" t="s">
        <v>71</v>
      </c>
    </row>
    <row r="1295" spans="1:5" x14ac:dyDescent="0.25">
      <c r="A1295">
        <v>16698</v>
      </c>
      <c r="B1295" t="s">
        <v>69</v>
      </c>
      <c r="C1295" t="s">
        <v>85</v>
      </c>
      <c r="D1295" t="str">
        <f>HYPERLINK("Https://www.gov.gr/ipiresies/strateuse/anabole-diakope-strateuses/diakope-anaboles-katataxes-gia-koinonikous-logous","Διακοπή αναβολής κατάταξης για κοινωνικούς λόγους")</f>
        <v>Διακοπή αναβολής κατάταξης για κοινωνικούς λόγους</v>
      </c>
      <c r="E1295" t="s">
        <v>71</v>
      </c>
    </row>
    <row r="1296" spans="1:5" x14ac:dyDescent="0.25">
      <c r="A1296">
        <v>16579</v>
      </c>
      <c r="B1296" t="s">
        <v>69</v>
      </c>
      <c r="C1296" t="s">
        <v>85</v>
      </c>
      <c r="D1296" t="str">
        <f>HYPERLINK("Https://www.gov.gr/ipiresies/strateuse/anabole-diakope-strateuses/diakope-anaboles-katataxes-monimon-katoikon-exoterikou","Διακοπή αναβολής κατάταξης μονίμων κατοίκων εξωτερικού")</f>
        <v>Διακοπή αναβολής κατάταξης μονίμων κατοίκων εξωτερικού</v>
      </c>
      <c r="E1296" t="s">
        <v>71</v>
      </c>
    </row>
    <row r="1297" spans="1:5" x14ac:dyDescent="0.25">
      <c r="A1297">
        <v>16573</v>
      </c>
      <c r="B1297" t="s">
        <v>69</v>
      </c>
      <c r="C1297" t="s">
        <v>85</v>
      </c>
      <c r="D1297" t="str">
        <f>HYPERLINK("Https://www.gov.gr/ipiresies/strateuse/anabole-diakope-strateuses/diakope-anaboles-katataxes-nautologemenon","Διακοπή αναβολής κατάταξης ναυτολογημένων")</f>
        <v>Διακοπή αναβολής κατάταξης ναυτολογημένων</v>
      </c>
      <c r="E1297" t="s">
        <v>71</v>
      </c>
    </row>
    <row r="1298" spans="1:5" x14ac:dyDescent="0.25">
      <c r="A1298">
        <v>16590</v>
      </c>
      <c r="B1298" t="s">
        <v>69</v>
      </c>
      <c r="C1298" t="s">
        <v>85</v>
      </c>
      <c r="D1298" t="str">
        <f>HYPERLINK("Https://www.gov.gr/ipiresies/strateuse/anabole-diakope-strateuses/diakope-anaboles-katataxes-patera-duo-zonton-teknon","Διακοπή αναβολής κατάταξης πατέρα δύο ζώντων τέκνων")</f>
        <v>Διακοπή αναβολής κατάταξης πατέρα δύο ζώντων τέκνων</v>
      </c>
      <c r="E1298" t="s">
        <v>71</v>
      </c>
    </row>
    <row r="1299" spans="1:5" x14ac:dyDescent="0.25">
      <c r="A1299">
        <v>16591</v>
      </c>
      <c r="B1299" t="s">
        <v>69</v>
      </c>
      <c r="C1299" t="s">
        <v>85</v>
      </c>
      <c r="D1299" t="str">
        <f>HYPERLINK("Https://www.gov.gr/ipiresies/strateuse/anabole-diakope-strateuses/diakope-anaboles-katataxes-politographethentos","Διακοπή αναβολής κατάταξης πολιτογραφηθέντος")</f>
        <v>Διακοπή αναβολής κατάταξης πολιτογραφηθέντος</v>
      </c>
      <c r="E1299" t="s">
        <v>71</v>
      </c>
    </row>
    <row r="1300" spans="1:5" x14ac:dyDescent="0.25">
      <c r="A1300">
        <v>16354</v>
      </c>
      <c r="B1300" t="s">
        <v>69</v>
      </c>
      <c r="C1300" t="s">
        <v>85</v>
      </c>
      <c r="D1300" t="str">
        <f>HYPERLINK("Https://www.gov.gr/ipiresies/strateuse/anabole-diakope-strateuses/diakope-anaboles-katataxes-strateuses-upopsephion-anoteron-anotaton-skholon","Διακοπή αναβολής κατάταξης στράτευσης υποψηφίων ανώτερων / ανώτατων σχολών")</f>
        <v>Διακοπή αναβολής κατάταξης στράτευσης υποψηφίων ανώτερων / ανώτατων σχολών</v>
      </c>
      <c r="E1300" t="s">
        <v>71</v>
      </c>
    </row>
    <row r="1301" spans="1:5" x14ac:dyDescent="0.25">
      <c r="A1301">
        <v>16592</v>
      </c>
      <c r="B1301" t="s">
        <v>69</v>
      </c>
      <c r="C1301" t="s">
        <v>85</v>
      </c>
      <c r="D1301" t="str">
        <f>HYPERLINK("Https://www.gov.gr/ipiresies/strateuse/anabole-diakope-strateuses/diakope-anaboles-katataxes-uperetountos-adelphou","Διακοπή αναβολής κατάταξης υπηρετούντος αδελφού")</f>
        <v>Διακοπή αναβολής κατάταξης υπηρετούντος αδελφού</v>
      </c>
      <c r="E1301" t="s">
        <v>71</v>
      </c>
    </row>
    <row r="1302" spans="1:5" x14ac:dyDescent="0.25">
      <c r="A1302">
        <v>16593</v>
      </c>
      <c r="B1302" t="s">
        <v>69</v>
      </c>
      <c r="C1302" t="s">
        <v>85</v>
      </c>
      <c r="D1302" t="str">
        <f>HYPERLINK("Https://www.gov.gr/ipiresies/strateuse/anabole-diakope-strateuses/diakope-anaboles-katataxes-uperetountos-se-taktikes-enoples-dunameis-xenou-kratous","Διακοπή αναβολής κατάταξης υπηρετούντος σε τακτικές Ένοπλες Δυνάμεις ξένου κράτους")</f>
        <v>Διακοπή αναβολής κατάταξης υπηρετούντος σε τακτικές Ένοπλες Δυνάμεις ξένου κράτους</v>
      </c>
      <c r="E1302" t="s">
        <v>71</v>
      </c>
    </row>
    <row r="1303" spans="1:5" x14ac:dyDescent="0.25">
      <c r="A1303">
        <v>16178</v>
      </c>
      <c r="B1303" t="s">
        <v>69</v>
      </c>
      <c r="C1303" t="s">
        <v>85</v>
      </c>
      <c r="D1303" t="str">
        <f>HYPERLINK("Https://www.gov.gr/ipiresies/strateuse/anabole-diakope-strateuses/diakope-anaboles-strateuses-logo-spoudon-se-anotere-anotate-skhole-gia-kuries-metaptukhiakes-didaktorikes-spoudes","Διακοπή αναβολής στράτευσης λόγω σπουδών")</f>
        <v>Διακοπή αναβολής στράτευσης λόγω σπουδών</v>
      </c>
      <c r="E1303" t="s">
        <v>71</v>
      </c>
    </row>
    <row r="1304" spans="1:5" x14ac:dyDescent="0.25">
      <c r="A1304">
        <v>16672</v>
      </c>
      <c r="B1304" t="s">
        <v>69</v>
      </c>
      <c r="C1304" t="s">
        <v>85</v>
      </c>
      <c r="D1304" t="str">
        <f>HYPERLINK("Https://www.gov.gr/ipiresies/strateuse/anabole-diakope-strateuses/diakope-anaboles-upopsephiou-se-ekloges","Διακοπή αναβολής υποψηφίου σε εκλογές")</f>
        <v>Διακοπή αναβολής υποψηφίου σε εκλογές</v>
      </c>
      <c r="E1304" t="s">
        <v>71</v>
      </c>
    </row>
    <row r="1305" spans="1:5" x14ac:dyDescent="0.25">
      <c r="A1305">
        <v>16355</v>
      </c>
      <c r="B1305" t="s">
        <v>69</v>
      </c>
      <c r="C1305" t="s">
        <v>85</v>
      </c>
      <c r="D1305" t="str">
        <f>HYPERLINK("Https://www.gov.gr/ipiresies/strateuse/anabole-diakope-strateuses/katathese-pistopoietikou-spoudon-gia-sunekhise-anaboles-strateuses","Κατάθεση οφειλόμενου πιστοποιητικού σπουδών στην στρατολογία")</f>
        <v>Κατάθεση οφειλόμενου πιστοποιητικού σπουδών στην στρατολογία</v>
      </c>
      <c r="E1305" t="s">
        <v>71</v>
      </c>
    </row>
    <row r="1306" spans="1:5" x14ac:dyDescent="0.25">
      <c r="A1306">
        <v>16673</v>
      </c>
      <c r="B1306" t="s">
        <v>69</v>
      </c>
      <c r="C1306" t="s">
        <v>85</v>
      </c>
      <c r="D1306" t="str">
        <f>HYPERLINK("Https://www.gov.gr/ipiresies/strateuse/anabole-diakope-strateuses/parapompe-se-epitrope-apallagon-gia-epanexetase-ede-apallagmenou-strateusimou","Παραπομπή σε Επιτροπή Απαλλαγών για επανεξέταση ήδη απαλλαγμένου στρατεύσιμου")</f>
        <v>Παραπομπή σε Επιτροπή Απαλλαγών για επανεξέταση ήδη απαλλαγμένου στρατεύσιμου</v>
      </c>
      <c r="E1306" t="s">
        <v>71</v>
      </c>
    </row>
    <row r="1307" spans="1:5" x14ac:dyDescent="0.25">
      <c r="A1307">
        <v>16699</v>
      </c>
      <c r="B1307" t="s">
        <v>69</v>
      </c>
      <c r="C1307" t="s">
        <v>85</v>
      </c>
      <c r="D1307" t="str">
        <f>HYPERLINK("Https://www.gov.gr/ipiresies/strateuse/anabole-diakope-strateuses/parapompe-se-epitrope-apallagon-gia-epanexetase-somatikes-ikanotetas-strateusimou-e-ephedrou","Παραπομπή σε Επιτροπή Απαλλαγών για επανεξέταση σωματικής ικανότητας στρατευσίμου ή εφέδρου")</f>
        <v>Παραπομπή σε Επιτροπή Απαλλαγών για επανεξέταση σωματικής ικανότητας στρατευσίμου ή εφέδρου</v>
      </c>
      <c r="E1307" t="s">
        <v>71</v>
      </c>
    </row>
    <row r="1308" spans="1:5" x14ac:dyDescent="0.25">
      <c r="A1308">
        <v>15483</v>
      </c>
      <c r="B1308" t="s">
        <v>69</v>
      </c>
      <c r="C1308" t="s">
        <v>85</v>
      </c>
      <c r="D1308" t="str">
        <f>HYPERLINK("Https://www.gov.gr/ipiresies/strateuse/anabole-diakope-strateuses/plerophories-gia-ten-anabole-mou","Πληροφορίες για την αναβολή μου")</f>
        <v>Πληροφορίες για την αναβολή μου</v>
      </c>
      <c r="E1308" t="s">
        <v>71</v>
      </c>
    </row>
    <row r="1309" spans="1:5" x14ac:dyDescent="0.25">
      <c r="A1309">
        <v>16674</v>
      </c>
      <c r="B1309" t="s">
        <v>69</v>
      </c>
      <c r="C1309" t="s">
        <v>85</v>
      </c>
      <c r="D1309" t="str">
        <f>HYPERLINK("Https://www.gov.gr/ipiresies/strateuse/anabole-diakope-strateuses/prosorine-apoluse-upopsephion-se-ekloges","Προσωρινή απόλυση υποψηφίων σε εκλογές")</f>
        <v>Προσωρινή απόλυση υποψηφίων σε εκλογές</v>
      </c>
      <c r="E1309" t="s">
        <v>71</v>
      </c>
    </row>
    <row r="1310" spans="1:5" x14ac:dyDescent="0.25">
      <c r="A1310">
        <v>16662</v>
      </c>
      <c r="B1310" t="s">
        <v>69</v>
      </c>
      <c r="C1310" t="s">
        <v>116</v>
      </c>
      <c r="D1310" t="str">
        <f>HYPERLINK("Https://www.gov.gr/ipiresies/strateuse/apallage-strateuses/apallage-apo-ten-upokhreose-strateuses-monakhon","Απαλλαγή από την υποχρέωση στράτευσης μοναχών")</f>
        <v>Απαλλαγή από την υποχρέωση στράτευσης μοναχών</v>
      </c>
      <c r="E1310" t="s">
        <v>71</v>
      </c>
    </row>
    <row r="1311" spans="1:5" x14ac:dyDescent="0.25">
      <c r="A1311">
        <v>16660</v>
      </c>
      <c r="B1311" t="s">
        <v>69</v>
      </c>
      <c r="C1311" t="s">
        <v>116</v>
      </c>
      <c r="D1311" t="str">
        <f>HYPERLINK("Https://www.gov.gr/ipiresies/strateuse/apallage-strateuses/apallage-apo-ten-upokhreose-strateuses-monou-e-megaluterou-giou-goneon-pou-ekhoun-pethanei","Απαλλαγή από την υποχρέωση στράτευσης μόνου ή μεγαλύτερου γιου γονέων που έχουν πεθάνει")</f>
        <v>Απαλλαγή από την υποχρέωση στράτευσης μόνου ή μεγαλύτερου γιου γονέων που έχουν πεθάνει</v>
      </c>
      <c r="E1311" t="s">
        <v>71</v>
      </c>
    </row>
    <row r="1312" spans="1:5" x14ac:dyDescent="0.25">
      <c r="A1312">
        <v>16661</v>
      </c>
      <c r="B1312" t="s">
        <v>69</v>
      </c>
      <c r="C1312" t="s">
        <v>116</v>
      </c>
      <c r="D1312" t="str">
        <f>HYPERLINK("Https://www.gov.gr/ipiresies/strateuse/apallage-strateuses/apallage-apo-ten-upokhreose-strateuses-oson-ekhoun-katadikastei-ametakleta","Απαλλαγή από την υποχρέωση στράτευσης όσων έχουν καταδικαστεί αμετάκλητα")</f>
        <v>Απαλλαγή από την υποχρέωση στράτευσης όσων έχουν καταδικαστεί αμετάκλητα</v>
      </c>
      <c r="E1312" t="s">
        <v>71</v>
      </c>
    </row>
    <row r="1313" spans="1:5" x14ac:dyDescent="0.25">
      <c r="A1313">
        <v>16609</v>
      </c>
      <c r="B1313" t="s">
        <v>69</v>
      </c>
      <c r="C1313" t="s">
        <v>116</v>
      </c>
      <c r="D1313" t="str">
        <f>HYPERLINK("Https://www.gov.gr/ipiresies/strateuse/apallage-strateuses/apallage-apo-ten-upokhreose-strateuses-patera-enos-toulakhiston-zontos-anelikou-e-anikanou-gia-kathe-ergasia-agamou-teknou-pou-ekhei-suzugo-anikane-gia-kathe-ergasia","Απαλλαγή από την υποχρέωση στράτευσης πατέρα ενός τουλάχιστον ζώντος ανήλικου ή ανίκανου για κάθε εργασία άγαμου τέκνου που έχει σύζυγο ανίκανη για κάθε εργασία")</f>
        <v>Απαλλαγή από την υποχρέωση στράτευσης πατέρα ενός τουλάχιστον ζώντος ανήλικου ή ανίκανου για κάθε εργασία άγαμου τέκνου που έχει σύζυγο ανίκανη για κάθε εργασία</v>
      </c>
      <c r="E1313" t="s">
        <v>71</v>
      </c>
    </row>
    <row r="1314" spans="1:5" x14ac:dyDescent="0.25">
      <c r="A1314">
        <v>16610</v>
      </c>
      <c r="B1314" t="s">
        <v>69</v>
      </c>
      <c r="C1314" t="s">
        <v>116</v>
      </c>
      <c r="D1314" t="str">
        <f>HYPERLINK("Https://www.gov.gr/ipiresies/strateuse/apallage-strateuses/apallage-apo-ten-upokhreose-strateuses-patera-trion-e-perissoteron-zonton-teknon","Απαλλαγή από την υποχρέωση στράτευσης πατέρα τριών ή περισσοτέρων ζώντων τέκνων")</f>
        <v>Απαλλαγή από την υποχρέωση στράτευσης πατέρα τριών ή περισσοτέρων ζώντων τέκνων</v>
      </c>
      <c r="E1314" t="s">
        <v>71</v>
      </c>
    </row>
    <row r="1315" spans="1:5" x14ac:dyDescent="0.25">
      <c r="A1315">
        <v>16608</v>
      </c>
      <c r="B1315" t="s">
        <v>69</v>
      </c>
      <c r="C1315" t="s">
        <v>116</v>
      </c>
      <c r="D1315" t="str">
        <f>HYPERLINK("Https://www.gov.gr/ipiresies/strateuse/apallage-strateuses/apallage-apo-ten-upokhreose-strateuses-kherou-patera-enos-toulakhiston-zontos-anelikou-e-anikanou-gia-kathe-ergasia-agamou-teknou","Απαλλαγή από την υποχρέωση στράτευσης χήρου πατέρα ενός τουλάχιστον ζώντος ανηλίκου ή ανίκανου για κάθε εργασία άγαμου τέκνου")</f>
        <v>Απαλλαγή από την υποχρέωση στράτευσης χήρου πατέρα ενός τουλάχιστον ζώντος ανηλίκου ή ανίκανου για κάθε εργασία άγαμου τέκνου</v>
      </c>
      <c r="E1315" t="s">
        <v>71</v>
      </c>
    </row>
    <row r="1316" spans="1:5" x14ac:dyDescent="0.25">
      <c r="A1316">
        <v>15702</v>
      </c>
      <c r="B1316" t="s">
        <v>69</v>
      </c>
      <c r="C1316" t="s">
        <v>116</v>
      </c>
      <c r="D1316" t="str">
        <f>HYPERLINK("Https://www.gov.gr/ipiresies/strateuse/apallage-strateuses/plerophories-gia-ten-apallage-mou","Πληροφορίες για την απαλλαγή μου")</f>
        <v>Πληροφορίες για την απαλλαγή μου</v>
      </c>
      <c r="E1316" t="s">
        <v>71</v>
      </c>
    </row>
    <row r="1317" spans="1:5" x14ac:dyDescent="0.25">
      <c r="A1317">
        <v>15618</v>
      </c>
      <c r="B1317" t="s">
        <v>69</v>
      </c>
      <c r="C1317" t="s">
        <v>180</v>
      </c>
      <c r="D1317" t="str">
        <f>HYPERLINK("Https://www.gov.gr/ipiresies/strateuse/apographe/katathese-deltiou-apographes-strateusimon","Κατάθεση Δελτίου Απογραφής στρατευσίμων")</f>
        <v>Κατάθεση Δελτίου Απογραφής στρατευσίμων</v>
      </c>
      <c r="E1317" t="s">
        <v>71</v>
      </c>
    </row>
    <row r="1318" spans="1:5" x14ac:dyDescent="0.25">
      <c r="A1318">
        <v>15614</v>
      </c>
      <c r="B1318" t="s">
        <v>69</v>
      </c>
      <c r="C1318" t="s">
        <v>180</v>
      </c>
      <c r="D1318" t="str">
        <f>HYPERLINK("Https://www.gov.gr/ipiresies/strateuse/apographe/plerophories-gia-ten-apographe-mou","Πληροφορίες για την απογραφή μου")</f>
        <v>Πληροφορίες για την απογραφή μου</v>
      </c>
      <c r="E1318" t="s">
        <v>71</v>
      </c>
    </row>
    <row r="1319" spans="1:5" x14ac:dyDescent="0.25">
      <c r="A1319">
        <v>15360</v>
      </c>
      <c r="B1319" t="s">
        <v>69</v>
      </c>
      <c r="C1319" t="s">
        <v>113</v>
      </c>
      <c r="D1319" t="str">
        <f>HYPERLINK("Https://www.gov.gr/ipiresies/strateuse/apostratoi/antigrapho-phakelou-apostraton","Αντίγραφο φακέλου αποστράτων")</f>
        <v>Αντίγραφο φακέλου αποστράτων</v>
      </c>
      <c r="E1319" t="s">
        <v>29</v>
      </c>
    </row>
    <row r="1320" spans="1:5" x14ac:dyDescent="0.25">
      <c r="A1320">
        <v>15582</v>
      </c>
      <c r="B1320" t="s">
        <v>69</v>
      </c>
      <c r="C1320" t="s">
        <v>125</v>
      </c>
      <c r="D1320" t="str">
        <f>HYPERLINK("Https://www.gov.gr/ipiresies/strateuse/ephedroi/apostole-eidopoieses-ephedrou","Αποστολή ειδοποίησης εφέδρου")</f>
        <v>Αποστολή ειδοποίησης εφέδρου</v>
      </c>
      <c r="E1320" t="s">
        <v>71</v>
      </c>
    </row>
    <row r="1321" spans="1:5" x14ac:dyDescent="0.25">
      <c r="A1321">
        <v>16356</v>
      </c>
      <c r="B1321" t="s">
        <v>69</v>
      </c>
      <c r="C1321" t="s">
        <v>175</v>
      </c>
      <c r="D1321" t="str">
        <f>HYPERLINK("Https://www.gov.gr/ipiresies/strateuse/katataxe/entaxe-se-proegoumene-ekpaideutike-seira-strateusimon-opliton-esso","Ένταξη σε προηγούμενη Εκπαιδευτική Σειρά Στρατεύσιμων Οπλιτών (ΕΣΣΟ)")</f>
        <v>Ένταξη σε προηγούμενη Εκπαιδευτική Σειρά Στρατεύσιμων Οπλιτών (ΕΣΣΟ)</v>
      </c>
      <c r="E1321" t="s">
        <v>71</v>
      </c>
    </row>
    <row r="1322" spans="1:5" x14ac:dyDescent="0.25">
      <c r="A1322">
        <v>16455</v>
      </c>
      <c r="B1322" t="s">
        <v>69</v>
      </c>
      <c r="C1322" t="s">
        <v>175</v>
      </c>
      <c r="D1322" t="str">
        <f>HYPERLINK("Https://www.gov.gr/ipiresies/strateuse/katataxe/katataxe-protaktou-stis-enoples-dunameis","Κατάταξη προτάκτου στις ένοπλες δυνάμεις")</f>
        <v>Κατάταξη προτάκτου στις ένοπλες δυνάμεις</v>
      </c>
      <c r="E1322" t="s">
        <v>71</v>
      </c>
    </row>
    <row r="1323" spans="1:5" x14ac:dyDescent="0.25">
      <c r="A1323">
        <v>16523</v>
      </c>
      <c r="B1323" t="s">
        <v>69</v>
      </c>
      <c r="C1323" t="s">
        <v>175</v>
      </c>
      <c r="D1323" t="str">
        <f>HYPERLINK("Https://www.gov.gr/ipiresies/strateuse/katataxe/metatopise-tes-emeromenias-katataxes-logo-adunamias-proseleuses-gia-katataxe-gia-logous-ugeias-gia-pathese-diarkeias-mekhri-4-menes","Μετατόπιση της ημερομηνίας κατάταξης λόγω αδυναμίας προσέλευσης για κατάταξη για λόγους υγείας (για πάθηση διάρκειας μέχρι 4 μήνες)")</f>
        <v>Μετατόπιση της ημερομηνίας κατάταξης λόγω αδυναμίας προσέλευσης για κατάταξη για λόγους υγείας (για πάθηση διάρκειας μέχρι 4 μήνες)</v>
      </c>
      <c r="E1323" t="s">
        <v>71</v>
      </c>
    </row>
    <row r="1324" spans="1:5" x14ac:dyDescent="0.25">
      <c r="A1324">
        <v>16437</v>
      </c>
      <c r="B1324" t="s">
        <v>69</v>
      </c>
      <c r="C1324" t="s">
        <v>175</v>
      </c>
      <c r="D1324" t="str">
        <f>HYPERLINK("Https://www.gov.gr/ipiresies/strateuse/katataxe/metaphora-se-meiomene-theteia-strateuses","Μεταφορά σε μειωμένη θητεία στράτευσης")</f>
        <v>Μεταφορά σε μειωμένη θητεία στράτευσης</v>
      </c>
      <c r="E1324" t="s">
        <v>71</v>
      </c>
    </row>
    <row r="1325" spans="1:5" x14ac:dyDescent="0.25">
      <c r="A1325">
        <v>16522</v>
      </c>
      <c r="B1325" t="s">
        <v>69</v>
      </c>
      <c r="C1325" t="s">
        <v>175</v>
      </c>
      <c r="D1325" t="str">
        <f>HYPERLINK("Https://www.gov.gr/ipiresies/strateuse/katataxe/parapompe-strateusimou-se-epitrope-apallagon-gia-logous-ugeias-gia-pathese-diarkeias-ano-ton-4-menon","Παραπομπή στρατεύσιμου σε Επιτροπή Απαλλαγών για λόγους υγείας (για πάθηση διάρκειας άνω των 4 μηνών)")</f>
        <v>Παραπομπή στρατεύσιμου σε Επιτροπή Απαλλαγών για λόγους υγείας (για πάθηση διάρκειας άνω των 4 μηνών)</v>
      </c>
      <c r="E1325" t="s">
        <v>71</v>
      </c>
    </row>
    <row r="1326" spans="1:5" x14ac:dyDescent="0.25">
      <c r="A1326">
        <v>15484</v>
      </c>
      <c r="B1326" t="s">
        <v>69</v>
      </c>
      <c r="C1326" t="s">
        <v>175</v>
      </c>
      <c r="D1326" t="str">
        <f>HYPERLINK("Https://www.gov.gr/ipiresies/strateuse/katataxe/plerophories-gia-ten-katanome-mou","Πληροφορίες για την κατανομή μου")</f>
        <v>Πληροφορίες για την κατανομή μου</v>
      </c>
      <c r="E1326" t="s">
        <v>71</v>
      </c>
    </row>
    <row r="1327" spans="1:5" x14ac:dyDescent="0.25">
      <c r="A1327">
        <v>15613</v>
      </c>
      <c r="B1327" t="s">
        <v>69</v>
      </c>
      <c r="C1327" t="s">
        <v>175</v>
      </c>
      <c r="D1327" t="str">
        <f>HYPERLINK("Https://www.gov.gr/ipiresies/strateuse/katataxe/plerophories-gia-ten-katataxe-mou","Πληροφορίες για την κατάταξή μου")</f>
        <v>Πληροφορίες για την κατάταξή μου</v>
      </c>
      <c r="E1327" t="s">
        <v>71</v>
      </c>
    </row>
    <row r="1328" spans="1:5" x14ac:dyDescent="0.25">
      <c r="A1328">
        <v>15642</v>
      </c>
      <c r="B1328" t="s">
        <v>69</v>
      </c>
      <c r="C1328" t="s">
        <v>175</v>
      </c>
      <c r="D1328" t="str">
        <f>HYPERLINK("Https://www.gov.gr/ipiresies/strateuse/katataxe/semeioma-katataxes","Σημείωμα κατάταξης")</f>
        <v>Σημείωμα κατάταξης</v>
      </c>
      <c r="E1328" t="s">
        <v>71</v>
      </c>
    </row>
    <row r="1329" spans="1:5" x14ac:dyDescent="0.25">
      <c r="A1329">
        <v>16253</v>
      </c>
      <c r="B1329" t="s">
        <v>69</v>
      </c>
      <c r="C1329" t="s">
        <v>175</v>
      </c>
      <c r="D1329" t="str">
        <f>HYPERLINK("Https://www.gov.gr/ipiresies/strateuse/katataxe/sumplerose-stoikheion-katataxes-sten-polemike-aeroporia","Συμπλήρωση στοιχείων κατάταξης στην Πολεμική Αεροπορία")</f>
        <v>Συμπλήρωση στοιχείων κατάταξης στην Πολεμική Αεροπορία</v>
      </c>
      <c r="E1329" t="s">
        <v>71</v>
      </c>
    </row>
    <row r="1330" spans="1:5" x14ac:dyDescent="0.25">
      <c r="A1330">
        <v>16252</v>
      </c>
      <c r="B1330" t="s">
        <v>69</v>
      </c>
      <c r="C1330" t="s">
        <v>175</v>
      </c>
      <c r="D1330" t="str">
        <f>HYPERLINK("Https://www.gov.gr/ipiresies/strateuse/katataxe/sumplerose-stoikheion-katataxes-ston-strato-kseras","Συμπλήρωση στοιχείων κατάταξης στον Στρατό Ξηράς")</f>
        <v>Συμπλήρωση στοιχείων κατάταξης στον Στρατό Ξηράς</v>
      </c>
      <c r="E1330" t="s">
        <v>71</v>
      </c>
    </row>
    <row r="1331" spans="1:5" x14ac:dyDescent="0.25">
      <c r="A1331">
        <v>16254</v>
      </c>
      <c r="B1331" t="s">
        <v>69</v>
      </c>
      <c r="C1331" t="s">
        <v>175</v>
      </c>
      <c r="D1331" t="str">
        <f>HYPERLINK("Https://www.gov.gr/ipiresies/strateuse/katataxe/topothetese-metathese-oplite-polemikes-aeroporias","Τοποθέτηση / μετάθεση οπλίτη Πολεμικής Αεροπορίας")</f>
        <v>Τοποθέτηση / μετάθεση οπλίτη Πολεμικής Αεροπορίας</v>
      </c>
      <c r="E1331" t="s">
        <v>71</v>
      </c>
    </row>
    <row r="1332" spans="1:5" x14ac:dyDescent="0.25">
      <c r="A1332">
        <v>16752</v>
      </c>
      <c r="B1332" t="s">
        <v>69</v>
      </c>
      <c r="C1332" t="s">
        <v>158</v>
      </c>
      <c r="D1332" t="str">
        <f>HYPERLINK("Https://www.gov.gr/ipiresies/strateuse/metroa-arrenon/diagraphe-pollaplos-eggegrammenou-apo-ta-metroa-arrenon","Διαγραφή πολλαπλώς εγγεγραμμένου από τα μητρώα αρρένων")</f>
        <v>Διαγραφή πολλαπλώς εγγεγραμμένου από τα μητρώα αρρένων</v>
      </c>
      <c r="E1332" t="s">
        <v>71</v>
      </c>
    </row>
    <row r="1333" spans="1:5" x14ac:dyDescent="0.25">
      <c r="A1333">
        <v>16748</v>
      </c>
      <c r="B1333" t="s">
        <v>69</v>
      </c>
      <c r="C1333" t="s">
        <v>158</v>
      </c>
      <c r="D1333" t="str">
        <f>HYPERLINK("Https://www.gov.gr/ipiresies/strateuse/metroa-arrenon/diorthose-etous-genneses-sto-metroo-arrenon","Διόρθωση έτους γέννησης στο μητρώο αρρένων")</f>
        <v>Διόρθωση έτους γέννησης στο μητρώο αρρένων</v>
      </c>
      <c r="E1333" t="s">
        <v>71</v>
      </c>
    </row>
    <row r="1334" spans="1:5" x14ac:dyDescent="0.25">
      <c r="A1334">
        <v>16753</v>
      </c>
      <c r="B1334" t="s">
        <v>69</v>
      </c>
      <c r="C1334" t="s">
        <v>158</v>
      </c>
      <c r="D1334" t="str">
        <f>HYPERLINK("Https://www.gov.gr/ipiresies/strateuse/metroa-arrenon/meteggraphe-se-metroo-arrenon","Μετεγγραφή σε μητρώο αρρένων")</f>
        <v>Μετεγγραφή σε μητρώο αρρένων</v>
      </c>
      <c r="E1334" t="s">
        <v>71</v>
      </c>
    </row>
    <row r="1335" spans="1:5" x14ac:dyDescent="0.25">
      <c r="A1335">
        <v>16456</v>
      </c>
      <c r="B1335" t="s">
        <v>69</v>
      </c>
      <c r="C1335" t="s">
        <v>129</v>
      </c>
      <c r="D1335" t="str">
        <f>HYPERLINK("Https://www.gov.gr/ipiresies/strateuse/prosthete-stratiotike-upokhreose/arse-prosthetes-stratiotikes-upokhreoses","Άρση πρόσθετης στρατιωτικής υποχρέωσης")</f>
        <v>Άρση πρόσθετης στρατιωτικής υποχρέωσης</v>
      </c>
      <c r="E1335" t="s">
        <v>71</v>
      </c>
    </row>
    <row r="1336" spans="1:5" x14ac:dyDescent="0.25">
      <c r="A1336">
        <v>16457</v>
      </c>
      <c r="B1336" t="s">
        <v>69</v>
      </c>
      <c r="C1336" t="s">
        <v>129</v>
      </c>
      <c r="D1336" t="str">
        <f>HYPERLINK("Https://www.gov.gr/ipiresies/strateuse/prosthete-stratiotike-upokhreose/exagora-prosthetes-stratiotikes-upokhreoses","Εξαγορά πρόσθετης στρατιωτικής υποχρέωσης")</f>
        <v>Εξαγορά πρόσθετης στρατιωτικής υποχρέωσης</v>
      </c>
      <c r="E1336" t="s">
        <v>71</v>
      </c>
    </row>
    <row r="1337" spans="1:5" x14ac:dyDescent="0.25">
      <c r="A1337">
        <v>15506</v>
      </c>
      <c r="B1337" t="s">
        <v>69</v>
      </c>
      <c r="C1337" t="s">
        <v>70</v>
      </c>
      <c r="D1337" t="str">
        <f>HYPERLINK("Https://www.gov.gr/ipiresies/strateuse/stratiotikes-skholes/aitese-katataxes-se-stratiotikes-skholes","Αίτηση κατάταξης σε στρατιωτικές σχολές")</f>
        <v>Αίτηση κατάταξης σε στρατιωτικές σχολές</v>
      </c>
      <c r="E1337" t="s">
        <v>71</v>
      </c>
    </row>
    <row r="1338" spans="1:5" x14ac:dyDescent="0.25">
      <c r="A1338">
        <v>16594</v>
      </c>
      <c r="B1338" t="s">
        <v>69</v>
      </c>
      <c r="C1338" t="s">
        <v>172</v>
      </c>
      <c r="D1338" t="str">
        <f>HYPERLINK("Https://www.gov.gr/ipiresies/strateuse/stratologike-katastase/ektimese-apo-tis-stratologikes-uperesies-ton-logon-anoteras-bias-e-anuperbletou-kolumatos","Εκτίμηση από τις Στρατολογικές Υπηρεσίες των λόγων ανωτέρας βίας ή ανυπέρβλητου κωλύματος")</f>
        <v>Εκτίμηση από τις Στρατολογικές Υπηρεσίες των λόγων ανωτέρας βίας ή ανυπέρβλητου κωλύματος</v>
      </c>
      <c r="E1338" t="s">
        <v>71</v>
      </c>
    </row>
    <row r="1339" spans="1:5" x14ac:dyDescent="0.25">
      <c r="A1339">
        <v>15617</v>
      </c>
      <c r="B1339" t="s">
        <v>69</v>
      </c>
      <c r="C1339" t="s">
        <v>172</v>
      </c>
      <c r="D1339" t="str">
        <f>HYPERLINK("Https://www.gov.gr/ipiresies/strateuse/stratologike-katastase/elegkhos-egkurotetas-eggraphou-stratologias","Έλεγχος εγκυρότητας εγγράφου Στρατολογίας")</f>
        <v>Έλεγχος εγκυρότητας εγγράφου Στρατολογίας</v>
      </c>
      <c r="E1339" t="s">
        <v>71</v>
      </c>
    </row>
    <row r="1340" spans="1:5" x14ac:dyDescent="0.25">
      <c r="A1340">
        <v>15616</v>
      </c>
      <c r="B1340" t="s">
        <v>69</v>
      </c>
      <c r="C1340" t="s">
        <v>172</v>
      </c>
      <c r="D1340" t="str">
        <f>HYPERLINK("Https://www.gov.gr/ipiresies/strateuse/stratologike-katastase/pistopoietiko-stratologikes-katastases","Πιστοποιητικό στρατολογικής κατάστασης")</f>
        <v>Πιστοποιητικό στρατολογικής κατάστασης</v>
      </c>
      <c r="E1340" t="s">
        <v>71</v>
      </c>
    </row>
    <row r="1341" spans="1:5" x14ac:dyDescent="0.25">
      <c r="A1341">
        <v>16595</v>
      </c>
      <c r="B1341" t="s">
        <v>69</v>
      </c>
      <c r="C1341" t="s">
        <v>172</v>
      </c>
      <c r="D1341" t="str">
        <f>HYPERLINK("Https://www.gov.gr/ipiresies/strateuse/stratologike-katastase/prosphuge-kata-aporriptikou-eggraphou-stratologikes-uperesias","Προσφυγή κατά απορριπτικού εγγράφου Στρατολογικής Υπηρεσίας")</f>
        <v>Προσφυγή κατά απορριπτικού εγγράφου Στρατολογικής Υπηρεσίας</v>
      </c>
      <c r="E1341" t="s">
        <v>71</v>
      </c>
    </row>
    <row r="1342" spans="1:5" x14ac:dyDescent="0.25">
      <c r="A1342">
        <v>15615</v>
      </c>
      <c r="B1342" t="s">
        <v>69</v>
      </c>
      <c r="C1342" t="s">
        <v>172</v>
      </c>
      <c r="D1342" t="str">
        <f>HYPERLINK("Https://www.gov.gr/ipiresies/strateuse/stratologike-katastase/stratiotikos-arithmos","Στρατιωτικός Αριθμός")</f>
        <v>Στρατιωτικός Αριθμός</v>
      </c>
      <c r="E1342" t="s">
        <v>71</v>
      </c>
    </row>
    <row r="1343" spans="1:5" x14ac:dyDescent="0.25">
      <c r="A1343">
        <v>16451</v>
      </c>
      <c r="B1343" t="s">
        <v>38</v>
      </c>
      <c r="C1343" t="s">
        <v>42</v>
      </c>
      <c r="D1343" t="str">
        <f>HYPERLINK("Https://www.gov.gr/ipiresies/ugeia-kai-pronoia/atoma-me-anaperies-kai-khronies-patheseis/aitema-gnomodoteses-prosbasimotetas-atomon-me-anaperia-empodizomenon-atomon","Αίτημα γνωμοδότησης προσβασιμότητας Ατόμων με Αναπηρία /  εμποδιζόμενων ατόμων")</f>
        <v>Αίτημα γνωμοδότησης προσβασιμότητας Ατόμων με Αναπηρία /  εμποδιζόμενων ατόμων</v>
      </c>
      <c r="E1343" t="s">
        <v>31</v>
      </c>
    </row>
    <row r="1344" spans="1:5" x14ac:dyDescent="0.25">
      <c r="A1344">
        <v>15292</v>
      </c>
      <c r="B1344" t="s">
        <v>38</v>
      </c>
      <c r="C1344" t="s">
        <v>42</v>
      </c>
      <c r="D1344" t="str">
        <f>HYPERLINK("Https://www.gov.gr/ipiresies/ugeia-kai-pronoia/atoma-me-anaperies-kai-khronies-patheseis/aitema-pros-kentro-pistopoieses-anaperias-kepa","Αίτημα προς Κέντρο Πιστοποίησης Αναπηρίας (ΚΕΠΑ)")</f>
        <v>Αίτημα προς Κέντρο Πιστοποίησης Αναπηρίας (ΚΕΠΑ)</v>
      </c>
      <c r="E1344" t="s">
        <v>44</v>
      </c>
    </row>
    <row r="1345" spans="1:5" x14ac:dyDescent="0.25">
      <c r="A1345">
        <v>15858</v>
      </c>
      <c r="B1345" t="s">
        <v>38</v>
      </c>
      <c r="C1345" t="s">
        <v>42</v>
      </c>
      <c r="D1345" t="str">
        <f>HYPERLINK("Https://www.gov.gr/ipiresies/ugeia-kai-pronoia/atoma-me-anaperies-kai-khronies-patheseis/bebaiose-khoregeses-oikonomikes-eniskhuses-kophon-kai-barekoon-atomon","Βεβαίωση χορήγησης οικονομικής ενίσχυσης κωφών και βαρήκοων ατόμων")</f>
        <v>Βεβαίωση χορήγησης οικονομικής ενίσχυσης κωφών και βαρήκοων ατόμων</v>
      </c>
      <c r="E1345" t="s">
        <v>87</v>
      </c>
    </row>
    <row r="1346" spans="1:5" x14ac:dyDescent="0.25">
      <c r="A1346">
        <v>15857</v>
      </c>
      <c r="B1346" t="s">
        <v>38</v>
      </c>
      <c r="C1346" t="s">
        <v>42</v>
      </c>
      <c r="D1346" t="str">
        <f>HYPERLINK("Https://www.gov.gr/ipiresies/ugeia-kai-pronoia/atoma-me-anaperies-kai-khronies-patheseis/bebaiose-khoregeses-oikonomikes-eniskhuses-se-atoma-me-baria-anaperia","Βεβαίωση χορήγησης οικονομικής ενίσχυσης σε άτομα με βαριά αναπηρία")</f>
        <v>Βεβαίωση χορήγησης οικονομικής ενίσχυσης σε άτομα με βαριά αναπηρία</v>
      </c>
      <c r="E1346" t="s">
        <v>87</v>
      </c>
    </row>
    <row r="1347" spans="1:5" x14ac:dyDescent="0.25">
      <c r="A1347">
        <v>15479</v>
      </c>
      <c r="B1347" t="s">
        <v>38</v>
      </c>
      <c r="C1347" t="s">
        <v>42</v>
      </c>
      <c r="D1347" t="str">
        <f>HYPERLINK("Https://www.gov.gr/ipiresies/ugeia-kai-pronoia/atoma-me-anaperies-kai-khronies-patheseis/pistopoiese-sto-kentro-pistopoieses-anaperias-kepa","Πιστοποίηση στο Κέντρο Πιστοποίησης Αναπηρίας (ΚΕΠΑ)")</f>
        <v>Πιστοποίηση στο Κέντρο Πιστοποίησης Αναπηρίας (ΚΕΠΑ)</v>
      </c>
      <c r="E1347" t="s">
        <v>44</v>
      </c>
    </row>
    <row r="1348" spans="1:5" x14ac:dyDescent="0.25">
      <c r="A1348">
        <v>16740</v>
      </c>
      <c r="B1348" t="s">
        <v>38</v>
      </c>
      <c r="C1348" t="s">
        <v>42</v>
      </c>
      <c r="D1348" t="str">
        <f>HYPERLINK("Https://www.gov.gr/ipiresies/ugeia-kai-pronoia/atoma-me-anaperies-kai-khronies-patheseis/prosopikos-boethos-gia-atoma-me-anaperia","Προσωπικός Βοηθός για άτομα με αναπηρία")</f>
        <v>Προσωπικός Βοηθός για άτομα με αναπηρία</v>
      </c>
      <c r="E1348" t="s">
        <v>20</v>
      </c>
    </row>
    <row r="1349" spans="1:5" x14ac:dyDescent="0.25">
      <c r="A1349">
        <v>15965</v>
      </c>
      <c r="B1349" t="s">
        <v>38</v>
      </c>
      <c r="C1349" t="s">
        <v>39</v>
      </c>
      <c r="D1349" t="str">
        <f>HYPERLINK("Https://www.gov.gr/ipiresies/ugeia-kai-pronoia/epaggelmaties-ugeias/adeia-pagias-agoras-narkotikon-ousion","Άδεια πάγιας αγοράς ναρκωτικών ουσιών")</f>
        <v>Άδεια πάγιας αγοράς ναρκωτικών ουσιών</v>
      </c>
      <c r="E1349" t="s">
        <v>31</v>
      </c>
    </row>
    <row r="1350" spans="1:5" x14ac:dyDescent="0.25">
      <c r="A1350">
        <v>15636</v>
      </c>
      <c r="B1350" t="s">
        <v>38</v>
      </c>
      <c r="C1350" t="s">
        <v>39</v>
      </c>
      <c r="D1350" t="str">
        <f>HYPERLINK("Https://www.gov.gr/ipiresies/ugeia-kai-pronoia/epaggelmaties-ugeias/aiteseis-proslepses-se-kinetes-omades-ugeias-komy-tou-eodu-i","Αιτήσεις πρόσληψης σε Κινητές Ομάδες Υγείας (KOMY) του ΕΟΔΥ Ι")</f>
        <v>Αιτήσεις πρόσληψης σε Κινητές Ομάδες Υγείας (KOMY) του ΕΟΔΥ Ι</v>
      </c>
      <c r="E1350" t="s">
        <v>48</v>
      </c>
    </row>
    <row r="1351" spans="1:5" x14ac:dyDescent="0.25">
      <c r="A1351">
        <v>16433</v>
      </c>
      <c r="B1351" t="s">
        <v>38</v>
      </c>
      <c r="C1351" t="s">
        <v>39</v>
      </c>
      <c r="D1351" t="str">
        <f>HYPERLINK("Https://www.gov.gr/ipiresies/ugeia-kai-pronoia/epaggelmaties-ugeias/aiteseis-proslepses-se-kinetes-omades-ugeias-komy-tou-eodu-ii","Αιτήσεις πρόσληψης σε Κινητές Ομάδες Υγείας (KOMY) του ΕΟΔΥ ΙΙ")</f>
        <v>Αιτήσεις πρόσληψης σε Κινητές Ομάδες Υγείας (KOMY) του ΕΟΔΥ ΙΙ</v>
      </c>
      <c r="E1351" t="s">
        <v>48</v>
      </c>
    </row>
    <row r="1352" spans="1:5" x14ac:dyDescent="0.25">
      <c r="A1352">
        <v>15222</v>
      </c>
      <c r="B1352" t="s">
        <v>38</v>
      </c>
      <c r="C1352" t="s">
        <v>39</v>
      </c>
      <c r="D1352" t="str">
        <f>HYPERLINK("Https://www.gov.gr/ipiresies/ugeia-kai-pronoia/epaggelmaties-ugeias/anaggelia-eisodou-exodou-eisiterion-exiterion","Αναγγελία εισόδου - εξόδου / εισιτηρίων - εξιτηρίων")</f>
        <v>Αναγγελία εισόδου - εξόδου / εισιτηρίων - εξιτηρίων</v>
      </c>
      <c r="E1352" t="s">
        <v>88</v>
      </c>
    </row>
    <row r="1353" spans="1:5" x14ac:dyDescent="0.25">
      <c r="A1353">
        <v>16077</v>
      </c>
      <c r="B1353" t="s">
        <v>38</v>
      </c>
      <c r="C1353" t="s">
        <v>39</v>
      </c>
      <c r="D1353" t="str">
        <f>HYPERLINK("Https://www.gov.gr/ipiresies/ugeia-kai-pronoia/epaggelmaties-ugeias/anaggelia-enarxes-askeses-epaggelmatos-boethou-pharmakeiou","Αναγγελία έναρξης άσκησης επαγγέλματος βοηθού φαρμακείου")</f>
        <v>Αναγγελία έναρξης άσκησης επαγγέλματος βοηθού φαρμακείου</v>
      </c>
      <c r="E1353" t="s">
        <v>31</v>
      </c>
    </row>
    <row r="1354" spans="1:5" x14ac:dyDescent="0.25">
      <c r="A1354">
        <v>15966</v>
      </c>
      <c r="B1354" t="s">
        <v>38</v>
      </c>
      <c r="C1354" t="s">
        <v>39</v>
      </c>
      <c r="D1354" t="str">
        <f>HYPERLINK("Https://www.gov.gr/ipiresies/ugeia-kai-pronoia/epaggelmaties-ugeias/anaklese-tes-pagias-adeias-agoras-narkotikon-ousion","Ανάκληση της πάγιας άδειας αγοράς ναρκωτικών ουσιών")</f>
        <v>Ανάκληση της πάγιας άδειας αγοράς ναρκωτικών ουσιών</v>
      </c>
      <c r="E1354" t="s">
        <v>31</v>
      </c>
    </row>
    <row r="1355" spans="1:5" x14ac:dyDescent="0.25">
      <c r="A1355">
        <v>16081</v>
      </c>
      <c r="B1355" t="s">
        <v>38</v>
      </c>
      <c r="C1355" t="s">
        <v>39</v>
      </c>
      <c r="D1355" t="str">
        <f>HYPERLINK("Https://www.gov.gr/ipiresies/ugeia-kai-pronoia/epaggelmaties-ugeias/ananeose-praktikes-askeses-boethou-pharmakeiou","Ανανέωση πρακτικής άσκησης βοηθού φαρμακείου")</f>
        <v>Ανανέωση πρακτικής άσκησης βοηθού φαρμακείου</v>
      </c>
      <c r="E1355" t="s">
        <v>31</v>
      </c>
    </row>
    <row r="1356" spans="1:5" x14ac:dyDescent="0.25">
      <c r="A1356">
        <v>15964</v>
      </c>
      <c r="B1356" t="s">
        <v>38</v>
      </c>
      <c r="C1356" t="s">
        <v>39</v>
      </c>
      <c r="D1356" t="str">
        <f>HYPERLINK("Https://www.gov.gr/ipiresies/ugeia-kai-pronoia/epaggelmaties-ugeias/ananeose-praktikes-askeses-phoiteton-pharmakeutikes","Ανανέωση πρακτικής άσκησης φοιτητών φαρμακευτικής")</f>
        <v>Ανανέωση πρακτικής άσκησης φοιτητών φαρμακευτικής</v>
      </c>
      <c r="E1356" t="s">
        <v>31</v>
      </c>
    </row>
    <row r="1357" spans="1:5" x14ac:dyDescent="0.25">
      <c r="A1357">
        <v>15963</v>
      </c>
      <c r="B1357" t="s">
        <v>38</v>
      </c>
      <c r="C1357" t="s">
        <v>39</v>
      </c>
      <c r="D1357" t="str">
        <f>HYPERLINK("Https://www.gov.gr/ipiresies/ugeia-kai-pronoia/epaggelmaties-ugeias/antikatastase-upeuthunou-pharmakeiou","Αντικατάσταση υπεύθυνου φαρμακείου")</f>
        <v>Αντικατάσταση υπεύθυνου φαρμακείου</v>
      </c>
      <c r="E1357" t="s">
        <v>31</v>
      </c>
    </row>
    <row r="1358" spans="1:5" x14ac:dyDescent="0.25">
      <c r="A1358">
        <v>15504</v>
      </c>
      <c r="B1358" t="s">
        <v>38</v>
      </c>
      <c r="C1358" t="s">
        <v>39</v>
      </c>
      <c r="D1358" t="str">
        <f>HYPERLINK("Https://www.gov.gr/ipiresies/ugeia-kai-pronoia/epaggelmaties-ugeias/atomikos-elektronikos-phakelos-ugeias-aephu-gia-giatrous","Ατομικός Ηλεκτρονικός Φάκελος Υγείας (ΑΗΦΥ) για γιατρούς")</f>
        <v>Ατομικός Ηλεκτρονικός Φάκελος Υγείας (ΑΗΦΥ) για γιατρούς</v>
      </c>
      <c r="E1358" t="s">
        <v>132</v>
      </c>
    </row>
    <row r="1359" spans="1:5" x14ac:dyDescent="0.25">
      <c r="A1359">
        <v>15861</v>
      </c>
      <c r="B1359" t="s">
        <v>38</v>
      </c>
      <c r="C1359" t="s">
        <v>39</v>
      </c>
      <c r="D1359" t="str">
        <f>HYPERLINK("Https://www.gov.gr/ipiresies/ugeia-kai-pronoia/epaggelmaties-ugeias/bebaiose-ekpleroses-uperesias-upaithrou-iatrou","Βεβαίωση εκπλήρωσης υπηρεσίας υπαίθρου για γιατρούς")</f>
        <v>Βεβαίωση εκπλήρωσης υπηρεσίας υπαίθρου για γιατρούς</v>
      </c>
      <c r="E1359" t="s">
        <v>137</v>
      </c>
    </row>
    <row r="1360" spans="1:5" x14ac:dyDescent="0.25">
      <c r="A1360">
        <v>16079</v>
      </c>
      <c r="B1360" t="s">
        <v>38</v>
      </c>
      <c r="C1360" t="s">
        <v>39</v>
      </c>
      <c r="D1360" t="str">
        <f>HYPERLINK("Https://www.gov.gr/ipiresies/ugeia-kai-pronoia/epaggelmaties-ugeias/bebaiose-olokleroses-praktikes-askeses-boethou-pharmakeiou","Βεβαίωση ολοκλήρωσης πρακτικής άσκησης βοηθού φαρμακείου")</f>
        <v>Βεβαίωση ολοκλήρωσης πρακτικής άσκησης βοηθού φαρμακείου</v>
      </c>
      <c r="E1360" t="s">
        <v>31</v>
      </c>
    </row>
    <row r="1361" spans="1:5" x14ac:dyDescent="0.25">
      <c r="A1361">
        <v>15968</v>
      </c>
      <c r="B1361" t="s">
        <v>38</v>
      </c>
      <c r="C1361" t="s">
        <v>39</v>
      </c>
      <c r="D1361" t="str">
        <f>HYPERLINK("Https://www.gov.gr/ipiresies/ugeia-kai-pronoia/epaggelmaties-ugeias/bebaiose-sumbatotetas-eidikotetas-iatrikes-odontiatrikes-tes-europaikes-enoses","Βεβαίωση συμβατότητας ειδικότητας ιατρικής / οδοντιατρικής της Ευρωπαϊκής Ένωσης")</f>
        <v>Βεβαίωση συμβατότητας ειδικότητας ιατρικής / οδοντιατρικής της Ευρωπαϊκής Ένωσης</v>
      </c>
      <c r="E1361" t="s">
        <v>31</v>
      </c>
    </row>
    <row r="1362" spans="1:5" x14ac:dyDescent="0.25">
      <c r="A1362">
        <v>15957</v>
      </c>
      <c r="B1362" t="s">
        <v>38</v>
      </c>
      <c r="C1362" t="s">
        <v>39</v>
      </c>
      <c r="D1362" t="str">
        <f>HYPERLINK("Https://www.gov.gr/ipiresies/ugeia-kai-pronoia/epaggelmaties-ugeias/bebaiose-sumbatotetas-ptukhiou-noseleutikes-phusikotherapeias-maieutikes-episkepton-trion-ugeias-tes-europaikes-enoses","Βεβαίωση συμβατότητας πτυχίου νοσηλευτικής, φυσικοθεραπείας, μαιευτικής, επισκεπτών/τριών υγείας της Ευρωπαϊκής Ένωσης")</f>
        <v>Βεβαίωση συμβατότητας πτυχίου νοσηλευτικής, φυσικοθεραπείας, μαιευτικής, επισκεπτών/τριών υγείας της Ευρωπαϊκής Ένωσης</v>
      </c>
      <c r="E1362" t="s">
        <v>31</v>
      </c>
    </row>
    <row r="1363" spans="1:5" x14ac:dyDescent="0.25">
      <c r="A1363">
        <v>15960</v>
      </c>
      <c r="B1363" t="s">
        <v>38</v>
      </c>
      <c r="C1363" t="s">
        <v>39</v>
      </c>
      <c r="D1363" t="str">
        <f>HYPERLINK("Https://www.gov.gr/ipiresies/ugeia-kai-pronoia/epaggelmaties-ugeias/bebaiose-khronou-eidikotetas-giatrou-odontiatrou","Βεβαίωση χρόνου ειδικότητας γιατρού / οδοντιάτρου")</f>
        <v>Βεβαίωση χρόνου ειδικότητας γιατρού / οδοντιάτρου</v>
      </c>
      <c r="E1363" t="s">
        <v>31</v>
      </c>
    </row>
    <row r="1364" spans="1:5" x14ac:dyDescent="0.25">
      <c r="A1364">
        <v>16080</v>
      </c>
      <c r="B1364" t="s">
        <v>38</v>
      </c>
      <c r="C1364" t="s">
        <v>39</v>
      </c>
      <c r="D1364" t="str">
        <f>HYPERLINK("Https://www.gov.gr/ipiresies/ugeia-kai-pronoia/epaggelmaties-ugeias/bebaiose-khronou-leitourgias-pharmakeiou","Βεβαίωση χρόνου λειτουργίας φαρμακείου")</f>
        <v>Βεβαίωση χρόνου λειτουργίας φαρμακείου</v>
      </c>
      <c r="E1364" t="s">
        <v>31</v>
      </c>
    </row>
    <row r="1365" spans="1:5" x14ac:dyDescent="0.25">
      <c r="A1365">
        <v>15267</v>
      </c>
      <c r="B1365" t="s">
        <v>38</v>
      </c>
      <c r="C1365" t="s">
        <v>39</v>
      </c>
      <c r="D1365" t="str">
        <f>HYPERLINK("Https://www.gov.gr/ipiresies/ugeia-kai-pronoia/epaggelmaties-ugeias/gnomateuseis-suntagographese-parokhon-ekpu","Γνωματεύσεις / συνταγογράφηση παροχών ΕΚΠΥ")</f>
        <v>Γνωματεύσεις / συνταγογράφηση παροχών ΕΚΠΥ</v>
      </c>
      <c r="E1365" t="s">
        <v>88</v>
      </c>
    </row>
    <row r="1366" spans="1:5" x14ac:dyDescent="0.25">
      <c r="A1366">
        <v>15268</v>
      </c>
      <c r="B1366" t="s">
        <v>38</v>
      </c>
      <c r="C1366" t="s">
        <v>39</v>
      </c>
      <c r="D1366" t="str">
        <f>HYPERLINK("Https://www.gov.gr/ipiresies/ugeia-kai-pronoia/epaggelmaties-ugeias/gnomateuse-aimokatharses","Γνωμάτευση αιμοκάθαρσης")</f>
        <v>Γνωμάτευση αιμοκάθαρσης</v>
      </c>
      <c r="E1366" t="s">
        <v>88</v>
      </c>
    </row>
    <row r="1367" spans="1:5" x14ac:dyDescent="0.25">
      <c r="A1367">
        <v>15323</v>
      </c>
      <c r="B1367" t="s">
        <v>38</v>
      </c>
      <c r="C1367" t="s">
        <v>39</v>
      </c>
      <c r="D1367" t="str">
        <f>HYPERLINK("Https://www.gov.gr/ipiresies/ugeia-kai-pronoia/epaggelmaties-ugeias/diakheirise-klinon-meth","Διαχείριση κλινών ΜΕΘ")</f>
        <v>Διαχείριση κλινών ΜΕΘ</v>
      </c>
      <c r="E1367" t="s">
        <v>88</v>
      </c>
    </row>
    <row r="1368" spans="1:5" x14ac:dyDescent="0.25">
      <c r="A1368">
        <v>15305</v>
      </c>
      <c r="B1368" t="s">
        <v>38</v>
      </c>
      <c r="C1368" t="s">
        <v>39</v>
      </c>
      <c r="D1368" t="str">
        <f>HYPERLINK("Https://www.gov.gr/ipiresies/ugeia-kai-pronoia/epaggelmaties-ugeias/eggraphe-giatron-gia-parokhes-ekpu","Εγγραφή γιατρών για παροχές ΕΚΠΥ")</f>
        <v>Εγγραφή γιατρών για παροχές ΕΚΠΥ</v>
      </c>
      <c r="E1368" t="s">
        <v>88</v>
      </c>
    </row>
    <row r="1369" spans="1:5" x14ac:dyDescent="0.25">
      <c r="A1369">
        <v>15199</v>
      </c>
      <c r="B1369" t="s">
        <v>38</v>
      </c>
      <c r="C1369" t="s">
        <v>39</v>
      </c>
      <c r="D1369" t="str">
        <f>HYPERLINK("Https://www.gov.gr/ipiresies/ugeia-kai-pronoia/epaggelmaties-ugeias/egkrise-elektronikes-gnomateuses-ekpu","Έγκριση ηλεκτρονικής γνωμάτευσης ΕΚΠΥ")</f>
        <v>Έγκριση ηλεκτρονικής γνωμάτευσης ΕΚΠΥ</v>
      </c>
      <c r="E1369" t="s">
        <v>88</v>
      </c>
    </row>
    <row r="1370" spans="1:5" x14ac:dyDescent="0.25">
      <c r="A1370">
        <v>15328</v>
      </c>
      <c r="B1370" t="s">
        <v>38</v>
      </c>
      <c r="C1370" t="s">
        <v>39</v>
      </c>
      <c r="D1370" t="str">
        <f>HYPERLINK("Https://www.gov.gr/ipiresies/ugeia-kai-pronoia/epaggelmaties-ugeias/elegkhos-asphalistikes-ikanotetas","Έλεγχος ασφαλιστικής ικανότητας")</f>
        <v>Έλεγχος ασφαλιστικής ικανότητας</v>
      </c>
      <c r="E1370" t="s">
        <v>88</v>
      </c>
    </row>
    <row r="1371" spans="1:5" x14ac:dyDescent="0.25">
      <c r="A1371">
        <v>15396</v>
      </c>
      <c r="B1371" t="s">
        <v>38</v>
      </c>
      <c r="C1371" t="s">
        <v>39</v>
      </c>
      <c r="D1371" t="str">
        <f>HYPERLINK("Https://www.gov.gr/ipiresies/ugeia-kai-pronoia/epaggelmaties-ugeias/elegkhos-kai-ekkatharise-suntagon-kmes","Έλεγχος και εκκαθάριση συνταγών (ΚΜΕΣ)")</f>
        <v>Έλεγχος και εκκαθάριση συνταγών (ΚΜΕΣ)</v>
      </c>
      <c r="E1371" t="s">
        <v>88</v>
      </c>
    </row>
    <row r="1372" spans="1:5" x14ac:dyDescent="0.25">
      <c r="A1372">
        <v>15191</v>
      </c>
      <c r="B1372" t="s">
        <v>38</v>
      </c>
      <c r="C1372" t="s">
        <v>39</v>
      </c>
      <c r="D1372" t="str">
        <f>HYPERLINK("Https://www.gov.gr/ipiresies/ugeia-kai-pronoia/epaggelmaties-ugeias/ellenikos-ethnikos-kombos-diasunoriakes-elektronikes-ugeias-ncpeh-gia-giatrous-pharmakopoious","Ελληνικός εθνικός κόμβος διασυνοριακής ηλεκτρονικής υγείας (NCPeH) για γιατρούς &amp; φαρμακοποιούς")</f>
        <v>Ελληνικός εθνικός κόμβος διασυνοριακής ηλεκτρονικής υγείας (NCPeH) για γιατρούς &amp; φαρμακοποιούς</v>
      </c>
      <c r="E1372" t="s">
        <v>132</v>
      </c>
    </row>
    <row r="1373" spans="1:5" x14ac:dyDescent="0.25">
      <c r="A1373">
        <v>15333</v>
      </c>
      <c r="B1373" t="s">
        <v>38</v>
      </c>
      <c r="C1373" t="s">
        <v>39</v>
      </c>
      <c r="D1373" t="str">
        <f>HYPERLINK("Https://www.gov.gr/ipiresies/ugeia-kai-pronoia/epaggelmaties-ugeias/energopoiese-khreste-phakelou-asphalises-ugeias-phau-apo-giatro","Ενεργοποίηση χρήστη Φακέλου Ασφάλισης Υγείας (ΦΑΥ) από γιατρό")</f>
        <v>Ενεργοποίηση χρήστη Φακέλου Ασφάλισης Υγείας (ΦΑΥ) από γιατρό</v>
      </c>
      <c r="E1373" t="s">
        <v>88</v>
      </c>
    </row>
    <row r="1374" spans="1:5" x14ac:dyDescent="0.25">
      <c r="A1374">
        <v>16076</v>
      </c>
      <c r="B1374" t="s">
        <v>38</v>
      </c>
      <c r="C1374" t="s">
        <v>39</v>
      </c>
      <c r="D1374" t="str">
        <f>HYPERLINK("Https://www.gov.gr/ipiresies/ugeia-kai-pronoia/epaggelmaties-ugeias/exetaseis-adeias-askeses-epaggelmatos-boethou-pharmakeiou","Εξετάσεις άδειας άσκησης επαγγέλματος βοηθού φαρμακείου")</f>
        <v>Εξετάσεις άδειας άσκησης επαγγέλματος βοηθού φαρμακείου</v>
      </c>
      <c r="E1374" t="s">
        <v>31</v>
      </c>
    </row>
    <row r="1375" spans="1:5" x14ac:dyDescent="0.25">
      <c r="A1375">
        <v>15178</v>
      </c>
      <c r="B1375" t="s">
        <v>38</v>
      </c>
      <c r="C1375" t="s">
        <v>39</v>
      </c>
      <c r="D1375" t="str">
        <f>HYPERLINK("Https://www.gov.gr/ipiresies/ugeia-kai-pronoia/epaggelmaties-ugeias/elektronike-delose-analutikon-parastatikon-ugeias-edapu-aimokatharseon","Ηλεκτρονική δήλωση αναλυτικών παραστατικών υγείας (eΔΑΠΥ) αιμοκαθάρσεων")</f>
        <v>Ηλεκτρονική δήλωση αναλυτικών παραστατικών υγείας (eΔΑΠΥ) αιμοκαθάρσεων</v>
      </c>
      <c r="E1375" t="s">
        <v>88</v>
      </c>
    </row>
    <row r="1376" spans="1:5" x14ac:dyDescent="0.25">
      <c r="A1376">
        <v>15179</v>
      </c>
      <c r="B1376" t="s">
        <v>38</v>
      </c>
      <c r="C1376" t="s">
        <v>39</v>
      </c>
      <c r="D1376" t="str">
        <f>HYPERLINK("Https://www.gov.gr/ipiresies/ugeia-kai-pronoia/epaggelmaties-ugeias/elektronike-delose-analutikon-parastatikon-ugeias-edapu-aktinotherapeion","Ηλεκτρονική Δήλωση Αναλυτικών Παραστατικών Υγείας (eΔΑΠΥ) ακτινοθεραπειών")</f>
        <v>Ηλεκτρονική Δήλωση Αναλυτικών Παραστατικών Υγείας (eΔΑΠΥ) ακτινοθεραπειών</v>
      </c>
      <c r="E1376" t="s">
        <v>88</v>
      </c>
    </row>
    <row r="1377" spans="1:5" x14ac:dyDescent="0.25">
      <c r="A1377">
        <v>15180</v>
      </c>
      <c r="B1377" t="s">
        <v>38</v>
      </c>
      <c r="C1377" t="s">
        <v>39</v>
      </c>
      <c r="D1377" t="str">
        <f>HYPERLINK("Https://www.gov.gr/ipiresies/ugeia-kai-pronoia/epaggelmaties-ugeias/elektronike-delose-analutikon-parastatikon-ugeias-edapu-anaggelias-aimokatharses","Ηλεκτρονική Δήλωση Αναλυτικών Παραστατικών Υγείας (eΔΑΠΥ) αναγγελίας αιμοκάθαρσης")</f>
        <v>Ηλεκτρονική Δήλωση Αναλυτικών Παραστατικών Υγείας (eΔΑΠΥ) αναγγελίας αιμοκάθαρσης</v>
      </c>
      <c r="E1377" t="s">
        <v>88</v>
      </c>
    </row>
    <row r="1378" spans="1:5" x14ac:dyDescent="0.25">
      <c r="A1378">
        <v>15181</v>
      </c>
      <c r="B1378" t="s">
        <v>38</v>
      </c>
      <c r="C1378" t="s">
        <v>39</v>
      </c>
      <c r="D1378" t="str">
        <f>HYPERLINK("Https://www.gov.gr/ipiresies/ugeia-kai-pronoia/epaggelmaties-ugeias/elektronike-delose-analutikon-parastatikon-ugeias-edapu-anoiktes-perithalpses-episkepseis","Ηλεκτρονική Δήλωση Αναλυτικών Παραστατικών Υγείας (eΔΑΠΥ) ανοικτής περίθαλψης - επισκέψεις")</f>
        <v>Ηλεκτρονική Δήλωση Αναλυτικών Παραστατικών Υγείας (eΔΑΠΥ) ανοικτής περίθαλψης - επισκέψεις</v>
      </c>
      <c r="E1378" t="s">
        <v>88</v>
      </c>
    </row>
    <row r="1379" spans="1:5" x14ac:dyDescent="0.25">
      <c r="A1379">
        <v>15182</v>
      </c>
      <c r="B1379" t="s">
        <v>38</v>
      </c>
      <c r="C1379" t="s">
        <v>39</v>
      </c>
      <c r="D1379" t="str">
        <f>HYPERLINK("Https://www.gov.gr/ipiresies/ugeia-kai-pronoia/epaggelmaties-ugeias/elektronike-delose-analutikon-parastatikon-ugeias-edapu-diasundeses-aktinotherapeion","Ηλεκτρονική Δήλωση Αναλυτικών Παραστατικών Υγείας (eΔΑΠΥ) διασύνδεσης ακτινοθεραπειών")</f>
        <v>Ηλεκτρονική Δήλωση Αναλυτικών Παραστατικών Υγείας (eΔΑΠΥ) διασύνδεσης ακτινοθεραπειών</v>
      </c>
      <c r="E1379" t="s">
        <v>88</v>
      </c>
    </row>
    <row r="1380" spans="1:5" x14ac:dyDescent="0.25">
      <c r="A1380">
        <v>15183</v>
      </c>
      <c r="B1380" t="s">
        <v>38</v>
      </c>
      <c r="C1380" t="s">
        <v>39</v>
      </c>
      <c r="D1380" t="str">
        <f>HYPERLINK("Https://www.gov.gr/ipiresies/ugeia-kai-pronoia/epaggelmaties-ugeias/elektronike-delose-analutikon-parastatikon-ugeias-edapu-parokhon","Ηλεκτρονική Δήλωση Αναλυτικών Παραστατικών Υγείας (eΔΑΠΥ) παροχών")</f>
        <v>Ηλεκτρονική Δήλωση Αναλυτικών Παραστατικών Υγείας (eΔΑΠΥ) παροχών</v>
      </c>
      <c r="E1380" t="s">
        <v>88</v>
      </c>
    </row>
    <row r="1381" spans="1:5" x14ac:dyDescent="0.25">
      <c r="A1381">
        <v>15185</v>
      </c>
      <c r="B1381" t="s">
        <v>38</v>
      </c>
      <c r="C1381" t="s">
        <v>39</v>
      </c>
      <c r="D1381" t="str">
        <f>HYPERLINK("Https://www.gov.gr/ipiresies/ugeia-kai-pronoia/epaggelmaties-ugeias/elektronike-delose-analutikon-parastatikon-ugeias-edapu-ulikon-aimokatharses","Ηλεκτρονική δήλωση αναλυτικών παραστατικών υγείας (eΔΑΠΥ) υλικών αιμοκάθαρσης")</f>
        <v>Ηλεκτρονική δήλωση αναλυτικών παραστατικών υγείας (eΔΑΠΥ) υλικών αιμοκάθαρσης</v>
      </c>
      <c r="E1381" t="s">
        <v>88</v>
      </c>
    </row>
    <row r="1382" spans="1:5" x14ac:dyDescent="0.25">
      <c r="A1382">
        <v>15184</v>
      </c>
      <c r="B1382" t="s">
        <v>38</v>
      </c>
      <c r="C1382" t="s">
        <v>39</v>
      </c>
      <c r="D1382" t="str">
        <f>HYPERLINK("Https://www.gov.gr/ipiresies/ugeia-kai-pronoia/epaggelmaties-ugeias/elektronike-delose-analutikon-parastatikon-ugeias-edapu-ulikon-kai-skeuasmaton-eidikes-diatrophes","Ηλεκτρονική Δήλωση Αναλυτικών Παραστατικών Υγείας (eΔΑΠΥ) υλικών και σκευασμάτων ειδικής διατροφής")</f>
        <v>Ηλεκτρονική Δήλωση Αναλυτικών Παραστατικών Υγείας (eΔΑΠΥ) υλικών και σκευασμάτων ειδικής διατροφής</v>
      </c>
      <c r="E1382" t="s">
        <v>88</v>
      </c>
    </row>
    <row r="1383" spans="1:5" x14ac:dyDescent="0.25">
      <c r="A1383">
        <v>15386</v>
      </c>
      <c r="B1383" t="s">
        <v>38</v>
      </c>
      <c r="C1383" t="s">
        <v>39</v>
      </c>
      <c r="D1383" t="str">
        <f>HYPERLINK("Https://www.gov.gr/ipiresies/ugeia-kai-pronoia/epaggelmaties-ugeias/elektronike-suntagographese","Ηλεκτρονική συνταγογράφηση")</f>
        <v>Ηλεκτρονική συνταγογράφηση</v>
      </c>
      <c r="E1383" t="s">
        <v>132</v>
      </c>
    </row>
    <row r="1384" spans="1:5" x14ac:dyDescent="0.25">
      <c r="A1384">
        <v>15967</v>
      </c>
      <c r="B1384" t="s">
        <v>38</v>
      </c>
      <c r="C1384" t="s">
        <v>39</v>
      </c>
      <c r="D1384" t="str">
        <f>HYPERLINK("Https://www.gov.gr/ipiresies/ugeia-kai-pronoia/epaggelmaties-ugeias/leitourgia-pharmakeiou-meta-ten-aposustegase-apo-kleronomiko-pharmakeio","Λειτουργία φαρμακείου μετά την αποσυστέγαση από κληρονομικό φαρμακείο")</f>
        <v>Λειτουργία φαρμακείου μετά την αποσυστέγαση από κληρονομικό φαρμακείο</v>
      </c>
      <c r="E1384" t="s">
        <v>31</v>
      </c>
    </row>
    <row r="1385" spans="1:5" x14ac:dyDescent="0.25">
      <c r="A1385">
        <v>16078</v>
      </c>
      <c r="B1385" t="s">
        <v>38</v>
      </c>
      <c r="C1385" t="s">
        <v>39</v>
      </c>
      <c r="D1385" t="str">
        <f>HYPERLINK("Https://www.gov.gr/ipiresies/ugeia-kai-pronoia/epaggelmaties-ugeias/leitourgia-pharmakeion-me-dieurumeno-orario","Λειτουργία φαρμακείων με διευρυμένο ωράριο")</f>
        <v>Λειτουργία φαρμακείων με διευρυμένο ωράριο</v>
      </c>
      <c r="E1385" t="s">
        <v>31</v>
      </c>
    </row>
    <row r="1386" spans="1:5" x14ac:dyDescent="0.25">
      <c r="A1386">
        <v>15175</v>
      </c>
      <c r="B1386" t="s">
        <v>38</v>
      </c>
      <c r="C1386" t="s">
        <v>39</v>
      </c>
      <c r="D1386" t="str">
        <f>HYPERLINK("Https://www.gov.gr/ipiresies/ugeia-kai-pronoia/epaggelmaties-ugeias/metroo-apozemioumenon-proionton-kai-sumbaseis-parokhon-eopuu","Μητρώο αποζημιούμενων προϊόντων και συμβάσεις παρόχων ΕΟΠΥΥ")</f>
        <v>Μητρώο αποζημιούμενων προϊόντων και συμβάσεις παρόχων ΕΟΠΥΥ</v>
      </c>
      <c r="E1386" t="s">
        <v>88</v>
      </c>
    </row>
    <row r="1387" spans="1:5" x14ac:dyDescent="0.25">
      <c r="A1387">
        <v>15439</v>
      </c>
      <c r="B1387" t="s">
        <v>38</v>
      </c>
      <c r="C1387" t="s">
        <v>39</v>
      </c>
      <c r="D1387" t="str">
        <f>HYPERLINK("Https://www.gov.gr/ipiresies/ugeia-kai-pronoia/epaggelmaties-ugeias/metroo-apomuelinotikon-patheseon-tou-kns","Μητρώο απομυελινωτικών παθήσεων του ΚΝΣ")</f>
        <v>Μητρώο απομυελινωτικών παθήσεων του ΚΝΣ</v>
      </c>
      <c r="E1387" t="s">
        <v>88</v>
      </c>
    </row>
    <row r="1388" spans="1:5" x14ac:dyDescent="0.25">
      <c r="A1388">
        <v>15443</v>
      </c>
      <c r="B1388" t="s">
        <v>38</v>
      </c>
      <c r="C1388" t="s">
        <v>39</v>
      </c>
      <c r="D1388" t="str">
        <f>HYPERLINK("Https://www.gov.gr/ipiresies/ugeia-kai-pronoia/epaggelmaties-ugeias/metroo-epatitidas-c","Μητρώο Ηπατίτιδας C")</f>
        <v>Μητρώο Ηπατίτιδας C</v>
      </c>
      <c r="E1388" t="s">
        <v>88</v>
      </c>
    </row>
    <row r="1389" spans="1:5" x14ac:dyDescent="0.25">
      <c r="A1389">
        <v>15444</v>
      </c>
      <c r="B1389" t="s">
        <v>38</v>
      </c>
      <c r="C1389" t="s">
        <v>39</v>
      </c>
      <c r="D1389" t="str">
        <f>HYPERLINK("Https://www.gov.gr/ipiresies/ugeia-kai-pronoia/epaggelmaties-ugeias/metroo-thalassaimias","Μητρώο θαλασσαιμίας")</f>
        <v>Μητρώο θαλασσαιμίας</v>
      </c>
      <c r="E1389" t="s">
        <v>88</v>
      </c>
    </row>
    <row r="1390" spans="1:5" x14ac:dyDescent="0.25">
      <c r="A1390">
        <v>15445</v>
      </c>
      <c r="B1390" t="s">
        <v>38</v>
      </c>
      <c r="C1390" t="s">
        <v>39</v>
      </c>
      <c r="D1390" t="str">
        <f>HYPERLINK("Https://www.gov.gr/ipiresies/ugeia-kai-pronoia/epaggelmaties-ugeias/metroo-peritonaikes-katharses","Μητρώο περιτοναϊκής κάθαρσης")</f>
        <v>Μητρώο περιτοναϊκής κάθαρσης</v>
      </c>
      <c r="E1390" t="s">
        <v>88</v>
      </c>
    </row>
    <row r="1391" spans="1:5" x14ac:dyDescent="0.25">
      <c r="A1391">
        <v>15449</v>
      </c>
      <c r="B1391" t="s">
        <v>38</v>
      </c>
      <c r="C1391" t="s">
        <v>39</v>
      </c>
      <c r="D1391" t="str">
        <f>HYPERLINK("Https://www.gov.gr/ipiresies/ugeia-kai-pronoia/epaggelmaties-ugeias/metroo-sakkharode-diabete","Μητρώο σακχαρώδη διαβήτη")</f>
        <v>Μητρώο σακχαρώδη διαβήτη</v>
      </c>
      <c r="E1391" t="s">
        <v>88</v>
      </c>
    </row>
    <row r="1392" spans="1:5" x14ac:dyDescent="0.25">
      <c r="A1392">
        <v>15451</v>
      </c>
      <c r="B1392" t="s">
        <v>38</v>
      </c>
      <c r="C1392" t="s">
        <v>39</v>
      </c>
      <c r="D1392" t="str">
        <f>HYPERLINK("Https://www.gov.gr/ipiresies/ugeia-kai-pronoia/epaggelmaties-ugeias/metroo-khronias-muelogenous-leukhaimias","Μητρώο χρόνιας μυελογενούς λευχαιμίας")</f>
        <v>Μητρώο χρόνιας μυελογενούς λευχαιμίας</v>
      </c>
      <c r="E1392" t="s">
        <v>88</v>
      </c>
    </row>
    <row r="1393" spans="1:5" x14ac:dyDescent="0.25">
      <c r="A1393">
        <v>15776</v>
      </c>
      <c r="B1393" t="s">
        <v>38</v>
      </c>
      <c r="C1393" t="s">
        <v>39</v>
      </c>
      <c r="D1393" t="str">
        <f>HYPERLINK("Https://www.gov.gr/ipiresies/ugeia-kai-pronoia/epaggelmaties-ugeias/mekhanismos-ekkatharises-lexiprothesmon-opheilon-ugeias","Μηχανισμός εκκαθάρισης ληξιπρόθεσμων οφειλών υγείας")</f>
        <v>Μηχανισμός εκκαθάρισης ληξιπρόθεσμων οφειλών υγείας</v>
      </c>
      <c r="E1393" t="s">
        <v>44</v>
      </c>
    </row>
    <row r="1394" spans="1:5" x14ac:dyDescent="0.25">
      <c r="A1394">
        <v>16062</v>
      </c>
      <c r="B1394" t="s">
        <v>38</v>
      </c>
      <c r="C1394" t="s">
        <v>39</v>
      </c>
      <c r="D1394" t="str">
        <f>HYPERLINK("Https://www.gov.gr/ipiresies/ugeia-kai-pronoia/epaggelmaties-ugeias/paraitese-kai-anaklese-adeias-idruses-kleronomikou-pharmakeiou","Παραίτηση και ανάκληση άδειας ίδρυσης κληρονομικού φαρμακείου")</f>
        <v>Παραίτηση και ανάκληση άδειας ίδρυσης κληρονομικού φαρμακείου</v>
      </c>
      <c r="E1394" t="s">
        <v>31</v>
      </c>
    </row>
    <row r="1395" spans="1:5" x14ac:dyDescent="0.25">
      <c r="A1395">
        <v>15476</v>
      </c>
      <c r="B1395" t="s">
        <v>38</v>
      </c>
      <c r="C1395" t="s">
        <v>39</v>
      </c>
      <c r="D1395" t="str">
        <f>HYPERLINK("Https://www.gov.gr/ipiresies/ugeia-kai-pronoia/epaggelmaties-ugeias/pistopoiese-iatron-loipon-prometheuton-ugeias","Πιστοποίηση ιατρών - λοιπών προμηθευτών υγείας")</f>
        <v>Πιστοποίηση ιατρών - λοιπών προμηθευτών υγείας</v>
      </c>
      <c r="E1395" t="s">
        <v>88</v>
      </c>
    </row>
    <row r="1396" spans="1:5" x14ac:dyDescent="0.25">
      <c r="A1396">
        <v>15478</v>
      </c>
      <c r="B1396" t="s">
        <v>38</v>
      </c>
      <c r="C1396" t="s">
        <v>39</v>
      </c>
      <c r="D1396" t="str">
        <f>HYPERLINK("Https://www.gov.gr/ipiresies/ugeia-kai-pronoia/epaggelmaties-ugeias/pistopoiese-prometheuton-ulikon-kai-sed","Πιστοποίηση προμηθευτών υλικών και ΣΕΔ")</f>
        <v>Πιστοποίηση προμηθευτών υλικών και ΣΕΔ</v>
      </c>
      <c r="E1396" t="s">
        <v>88</v>
      </c>
    </row>
    <row r="1397" spans="1:5" x14ac:dyDescent="0.25">
      <c r="A1397">
        <v>15480</v>
      </c>
      <c r="B1397" t="s">
        <v>38</v>
      </c>
      <c r="C1397" t="s">
        <v>39</v>
      </c>
      <c r="D1397" t="str">
        <f>HYPERLINK("Https://www.gov.gr/ipiresies/ugeia-kai-pronoia/epaggelmaties-ugeias/pistopoiese-pharmakeion-prometheuton-gia-analosima-diabetologikou-ulikou","Πιστοποίηση φαρμακείων / προμηθευτών για αναλώσιμα διαβητολογικού υλικού")</f>
        <v>Πιστοποίηση φαρμακείων / προμηθευτών για αναλώσιμα διαβητολογικού υλικού</v>
      </c>
      <c r="E1397" t="s">
        <v>88</v>
      </c>
    </row>
    <row r="1398" spans="1:5" x14ac:dyDescent="0.25">
      <c r="A1398">
        <v>15961</v>
      </c>
      <c r="B1398" t="s">
        <v>38</v>
      </c>
      <c r="C1398" t="s">
        <v>39</v>
      </c>
      <c r="D1398" t="str">
        <f>HYPERLINK("Https://www.gov.gr/ipiresies/ugeia-kai-pronoia/epaggelmaties-ugeias/pistopoietiko-epaggelmatikes-katastases-giatrou-odontiatrou","Πιστοποιητικό επαγγελματικής κατάστασης γιατρού / οδοντιάτρου")</f>
        <v>Πιστοποιητικό επαγγελματικής κατάστασης γιατρού / οδοντιάτρου</v>
      </c>
      <c r="E1398" t="s">
        <v>31</v>
      </c>
    </row>
    <row r="1399" spans="1:5" x14ac:dyDescent="0.25">
      <c r="A1399">
        <v>15962</v>
      </c>
      <c r="B1399" t="s">
        <v>38</v>
      </c>
      <c r="C1399" t="s">
        <v>39</v>
      </c>
      <c r="D1399" t="str">
        <f>HYPERLINK("Https://www.gov.gr/ipiresies/ugeia-kai-pronoia/epaggelmaties-ugeias/pistopoietiko-epaggelmatikes-katastases-noseleute-trias-phusikotherapeute-trias-maias-maieute-episkepton-trion-ugeias","Πιστοποιητικό επαγγελματικής κατάστασης νοσηλευτή/τριας, φυσικοθεραπευτή/τριας, μαίας/μαιευτή, επισκεπτών/τριών υγείας")</f>
        <v>Πιστοποιητικό επαγγελματικής κατάστασης νοσηλευτή/τριας, φυσικοθεραπευτή/τριας, μαίας/μαιευτή, επισκεπτών/τριών υγείας</v>
      </c>
      <c r="E1399" t="s">
        <v>31</v>
      </c>
    </row>
    <row r="1400" spans="1:5" x14ac:dyDescent="0.25">
      <c r="A1400">
        <v>16075</v>
      </c>
      <c r="B1400" t="s">
        <v>38</v>
      </c>
      <c r="C1400" t="s">
        <v>39</v>
      </c>
      <c r="D1400" t="str">
        <f>HYPERLINK("Https://www.gov.gr/ipiresies/ugeia-kai-pronoia/epaggelmaties-ugeias/pistopoietiko-epaggelmatikes-katastases-pharmakopoiou","Πιστοποιητικό επαγγελματικής κατάστασης φαρμακοποιού")</f>
        <v>Πιστοποιητικό επαγγελματικής κατάστασης φαρμακοποιού</v>
      </c>
      <c r="E1400" t="s">
        <v>31</v>
      </c>
    </row>
    <row r="1401" spans="1:5" x14ac:dyDescent="0.25">
      <c r="A1401">
        <v>15502</v>
      </c>
      <c r="B1401" t="s">
        <v>38</v>
      </c>
      <c r="C1401" t="s">
        <v>39</v>
      </c>
      <c r="D1401" t="str">
        <f>HYPERLINK("Https://www.gov.gr/ipiresies/ugeia-kai-pronoia/epaggelmaties-ugeias/sustema-elektronikes-proegkrises-pharmakon","Σύστημα ηλεκτρονικής προέγκρισης φαρμάκων")</f>
        <v>Σύστημα ηλεκτρονικής προέγκρισης φαρμάκων</v>
      </c>
      <c r="E1401" t="s">
        <v>88</v>
      </c>
    </row>
    <row r="1402" spans="1:5" x14ac:dyDescent="0.25">
      <c r="A1402">
        <v>15350</v>
      </c>
      <c r="B1402" t="s">
        <v>38</v>
      </c>
      <c r="C1402" t="s">
        <v>86</v>
      </c>
      <c r="D1402" t="str">
        <f>HYPERLINK("Https://www.gov.gr/ipiresies/ugeia-kai-pronoia/epidomata/anaggelia-aphixes-se-kataluma","Αναγγελία άφιξης σε κατάλυμα")</f>
        <v>Αναγγελία άφιξης σε κατάλυμα</v>
      </c>
      <c r="E1402" t="s">
        <v>87</v>
      </c>
    </row>
    <row r="1403" spans="1:5" x14ac:dyDescent="0.25">
      <c r="A1403">
        <v>15326</v>
      </c>
      <c r="B1403" t="s">
        <v>38</v>
      </c>
      <c r="C1403" t="s">
        <v>86</v>
      </c>
      <c r="D1403" t="str">
        <f>HYPERLINK("Https://www.gov.gr/ipiresies/ugeia-kai-pronoia/epidomata/bebaiose-oikogeneiakon-epidomaton-gia-phorologike-khrese","Βεβαίωση οικογενειακών επιδομάτων για φορολογική χρήση")</f>
        <v>Βεβαίωση οικογενειακών επιδομάτων για φορολογική χρήση</v>
      </c>
      <c r="E1403" t="s">
        <v>87</v>
      </c>
    </row>
    <row r="1404" spans="1:5" x14ac:dyDescent="0.25">
      <c r="A1404">
        <v>15739</v>
      </c>
      <c r="B1404" t="s">
        <v>38</v>
      </c>
      <c r="C1404" t="s">
        <v>86</v>
      </c>
      <c r="D1404" t="str">
        <f>HYPERLINK("Https://www.gov.gr/ipiresies/ugeia-kai-pronoia/epidomata/eisodematike-eniskhuse-oreinon-e-kai-meionektikon-periokhon","Εισοδηματική ενίσχυση ορεινών ή/και μειονεκτικών περιοχών")</f>
        <v>Εισοδηματική ενίσχυση ορεινών ή/και μειονεκτικών περιοχών</v>
      </c>
      <c r="E1404" t="s">
        <v>87</v>
      </c>
    </row>
    <row r="1405" spans="1:5" x14ac:dyDescent="0.25">
      <c r="A1405">
        <v>15413</v>
      </c>
      <c r="B1405" t="s">
        <v>38</v>
      </c>
      <c r="C1405" t="s">
        <v>86</v>
      </c>
      <c r="D1405" t="str">
        <f>HYPERLINK("Https://www.gov.gr/ipiresies/ugeia-kai-pronoia/epidomata/elakhisto-egguemeno-eisodema","Ελάχιστο εγγυημένο εισόδημα")</f>
        <v>Ελάχιστο εγγυημένο εισόδημα</v>
      </c>
      <c r="E1405" t="s">
        <v>87</v>
      </c>
    </row>
    <row r="1406" spans="1:5" x14ac:dyDescent="0.25">
      <c r="A1406">
        <v>16788</v>
      </c>
      <c r="B1406" t="s">
        <v>38</v>
      </c>
      <c r="C1406" t="s">
        <v>86</v>
      </c>
      <c r="D1406" t="str">
        <f>HYPERLINK("Https://www.gov.gr/ipiresies/ugeia-kai-pronoia/epidomata/epidoma-anadokhes","Επίδομα αναδοχής")</f>
        <v>Επίδομα αναδοχής</v>
      </c>
      <c r="E1406" t="s">
        <v>87</v>
      </c>
    </row>
    <row r="1407" spans="1:5" x14ac:dyDescent="0.25">
      <c r="A1407">
        <v>15345</v>
      </c>
      <c r="B1407" t="s">
        <v>38</v>
      </c>
      <c r="C1407" t="s">
        <v>86</v>
      </c>
      <c r="D1407" t="str">
        <f>HYPERLINK("Https://www.gov.gr/ipiresies/ugeia-kai-pronoia/epidomata/epidoma-thermanses","Επίδομα θέρμανσης")</f>
        <v>Επίδομα θέρμανσης</v>
      </c>
      <c r="E1407" t="s">
        <v>59</v>
      </c>
    </row>
    <row r="1408" spans="1:5" x14ac:dyDescent="0.25">
      <c r="A1408">
        <v>15344</v>
      </c>
      <c r="B1408" t="s">
        <v>38</v>
      </c>
      <c r="C1408" t="s">
        <v>86</v>
      </c>
      <c r="D1408" t="str">
        <f>HYPERLINK("Https://www.gov.gr/ipiresies/ugeia-kai-pronoia/epidomata/epidoma-paidiou","Επίδομα παιδιού")</f>
        <v>Επίδομα παιδιού</v>
      </c>
      <c r="E1408" t="s">
        <v>87</v>
      </c>
    </row>
    <row r="1409" spans="1:5" x14ac:dyDescent="0.25">
      <c r="A1409">
        <v>15346</v>
      </c>
      <c r="B1409" t="s">
        <v>38</v>
      </c>
      <c r="C1409" t="s">
        <v>86</v>
      </c>
      <c r="D1409" t="str">
        <f>HYPERLINK("Https://www.gov.gr/ipiresies/ugeia-kai-pronoia/epidomata/epidoma-stegases","Επίδομα στέγασης")</f>
        <v>Επίδομα στέγασης</v>
      </c>
      <c r="E1409" t="s">
        <v>87</v>
      </c>
    </row>
    <row r="1410" spans="1:5" x14ac:dyDescent="0.25">
      <c r="A1410">
        <v>15414</v>
      </c>
      <c r="B1410" t="s">
        <v>38</v>
      </c>
      <c r="C1410" t="s">
        <v>86</v>
      </c>
      <c r="D1410" t="str">
        <f>HYPERLINK("Https://www.gov.gr/ipiresies/ugeia-kai-pronoia/epidomata/koinoniko-merisma","Κοινωνικό Μέρισμα")</f>
        <v>Κοινωνικό Μέρισμα</v>
      </c>
      <c r="E1410" t="s">
        <v>87</v>
      </c>
    </row>
    <row r="1411" spans="1:5" x14ac:dyDescent="0.25">
      <c r="A1411">
        <v>15415</v>
      </c>
      <c r="B1411" t="s">
        <v>38</v>
      </c>
      <c r="C1411" t="s">
        <v>86</v>
      </c>
      <c r="D1411" t="str">
        <f>HYPERLINK("Https://www.gov.gr/ipiresies/ugeia-kai-pronoia/epidomata/koinoniko-oikiako-timologio","Κοινωνικό Οικιακό Τιμολόγιο")</f>
        <v>Κοινωνικό Οικιακό Τιμολόγιο</v>
      </c>
      <c r="E1411" t="s">
        <v>132</v>
      </c>
    </row>
    <row r="1412" spans="1:5" x14ac:dyDescent="0.25">
      <c r="A1412">
        <v>15192</v>
      </c>
      <c r="B1412" t="s">
        <v>38</v>
      </c>
      <c r="C1412" t="s">
        <v>86</v>
      </c>
      <c r="D1412" t="str">
        <f>HYPERLINK("Https://www.gov.gr/ipiresies/ugeia-kai-pronoia/epidomata/kouponi-uperupseles-euruzonikotetas-superfast-broadband","Κουπόνι υπερυψηλής ευρυζωνικότητας – Superfast Broadband")</f>
        <v>Κουπόνι υπερυψηλής ευρυζωνικότητας – Superfast Broadband</v>
      </c>
      <c r="E1412" t="s">
        <v>26</v>
      </c>
    </row>
    <row r="1413" spans="1:5" x14ac:dyDescent="0.25">
      <c r="A1413">
        <v>15430</v>
      </c>
      <c r="B1413" t="s">
        <v>38</v>
      </c>
      <c r="C1413" t="s">
        <v>86</v>
      </c>
      <c r="D1413" t="str">
        <f>HYPERLINK("Https://www.gov.gr/ipiresies/ugeia-kai-pronoia/epidomata/metaphoriko-isodunamo","Μεταφορικό ισοδύναμο")</f>
        <v>Μεταφορικό ισοδύναμο</v>
      </c>
      <c r="E1413" t="s">
        <v>37</v>
      </c>
    </row>
    <row r="1414" spans="1:5" x14ac:dyDescent="0.25">
      <c r="A1414">
        <v>15356</v>
      </c>
      <c r="B1414" t="s">
        <v>38</v>
      </c>
      <c r="C1414" t="s">
        <v>86</v>
      </c>
      <c r="D1414" t="str">
        <f>HYPERLINK("Https://www.gov.gr/ipiresies/ugeia-kai-pronoia/epidomata/sumbeblemena-bibliopoleia","Συμβεβλημένα βιβλιοπωλεία")</f>
        <v>Συμβεβλημένα βιβλιοπωλεία</v>
      </c>
      <c r="E1414" t="s">
        <v>87</v>
      </c>
    </row>
    <row r="1415" spans="1:5" x14ac:dyDescent="0.25">
      <c r="A1415">
        <v>15264</v>
      </c>
      <c r="B1415" t="s">
        <v>38</v>
      </c>
      <c r="C1415" t="s">
        <v>160</v>
      </c>
      <c r="D1415" t="str">
        <f>HYPERLINK("Https://www.gov.gr/ipiresies/ugeia-kai-pronoia/episkepse-kai-noseleia-se-nosokomeio/diathesimoteta-rantebou-me-giatrous-tou-eopuu","Διαθεσιμότητα ραντεβού με γιατρούς του ΕΟΠΥΥ")</f>
        <v>Διαθεσιμότητα ραντεβού με γιατρούς του ΕΟΠΥΥ</v>
      </c>
      <c r="E1415" t="s">
        <v>88</v>
      </c>
    </row>
    <row r="1416" spans="1:5" x14ac:dyDescent="0.25">
      <c r="A1416">
        <v>15860</v>
      </c>
      <c r="B1416" t="s">
        <v>38</v>
      </c>
      <c r="C1416" t="s">
        <v>160</v>
      </c>
      <c r="D1416" t="str">
        <f>HYPERLINK("Https://www.gov.gr/ipiresies/ugeia-kai-pronoia/episkepse-kai-noseleia-se-nosokomeio/pistopoietiko-noseleias-anelikon","Πιστοποιητικό νοσηλείας ανηλίκων")</f>
        <v>Πιστοποιητικό νοσηλείας ανηλίκων</v>
      </c>
      <c r="E1416" t="s">
        <v>137</v>
      </c>
    </row>
    <row r="1417" spans="1:5" x14ac:dyDescent="0.25">
      <c r="A1417">
        <v>15859</v>
      </c>
      <c r="B1417" t="s">
        <v>38</v>
      </c>
      <c r="C1417" t="s">
        <v>160</v>
      </c>
      <c r="D1417" t="str">
        <f>HYPERLINK("Https://www.gov.gr/ipiresies/ugeia-kai-pronoia/episkepse-kai-noseleia-se-nosokomeio/pistopoietiko-noseleias-e-exetases-se-exoterika-iatreia-enelikon","Πιστοποιητικό νοσηλείας ή εξέτασης σε εξωτερικά ιατρεία ενηλίκων")</f>
        <v>Πιστοποιητικό νοσηλείας ή εξέτασης σε εξωτερικά ιατρεία ενηλίκων</v>
      </c>
      <c r="E1417" t="s">
        <v>137</v>
      </c>
    </row>
    <row r="1418" spans="1:5" x14ac:dyDescent="0.25">
      <c r="A1418">
        <v>15225</v>
      </c>
      <c r="B1418" t="s">
        <v>38</v>
      </c>
      <c r="C1418" t="s">
        <v>100</v>
      </c>
      <c r="D1418" t="str">
        <f>HYPERLINK("Https://www.gov.gr/ipiresies/ugeia-kai-pronoia/iatropharmakeutike-perithalpse/anazetese-pharmakou","Αναζήτηση φαρμάκου")</f>
        <v>Αναζήτηση φαρμάκου</v>
      </c>
      <c r="E1418" t="s">
        <v>88</v>
      </c>
    </row>
    <row r="1419" spans="1:5" x14ac:dyDescent="0.25">
      <c r="A1419">
        <v>16352</v>
      </c>
      <c r="B1419" t="s">
        <v>38</v>
      </c>
      <c r="C1419" t="s">
        <v>100</v>
      </c>
      <c r="D1419" t="str">
        <f>HYPERLINK("Https://www.gov.gr/ipiresies/ugeia-kai-pronoia/iatropharmakeutike-perithalpse/apozemiose-exodon-metakineses-thalassaimikon","Αποζημίωση εξόδων μετακίνησης θαλασσαιμικών")</f>
        <v>Αποζημίωση εξόδων μετακίνησης θαλασσαιμικών</v>
      </c>
      <c r="E1419" t="s">
        <v>88</v>
      </c>
    </row>
    <row r="1420" spans="1:5" x14ac:dyDescent="0.25">
      <c r="A1420">
        <v>16351</v>
      </c>
      <c r="B1420" t="s">
        <v>38</v>
      </c>
      <c r="C1420" t="s">
        <v>100</v>
      </c>
      <c r="D1420" t="str">
        <f>HYPERLINK("Https://www.gov.gr/ipiresies/ugeia-kai-pronoia/iatropharmakeutike-perithalpse/apozemiose-exodon-metakineses-nephropathon","Αποζημίωση εξόδων μετακίνησης νεφροπαθών")</f>
        <v>Αποζημίωση εξόδων μετακίνησης νεφροπαθών</v>
      </c>
      <c r="E1420" t="s">
        <v>88</v>
      </c>
    </row>
    <row r="1421" spans="1:5" x14ac:dyDescent="0.25">
      <c r="A1421">
        <v>15768</v>
      </c>
      <c r="B1421" t="s">
        <v>38</v>
      </c>
      <c r="C1421" t="s">
        <v>100</v>
      </c>
      <c r="D1421" t="str">
        <f>HYPERLINK("Https://www.gov.gr/ipiresies/ugeia-kai-pronoia/iatropharmakeutike-perithalpse/apozemiose-therapeion-eidikes-agoges","Αποζημίωση θεραπειών ειδικής αγωγής")</f>
        <v>Αποζημίωση θεραπειών ειδικής αγωγής</v>
      </c>
      <c r="E1421" t="s">
        <v>88</v>
      </c>
    </row>
    <row r="1422" spans="1:5" x14ac:dyDescent="0.25">
      <c r="A1422">
        <v>15797</v>
      </c>
      <c r="B1422" t="s">
        <v>38</v>
      </c>
      <c r="C1422" t="s">
        <v>100</v>
      </c>
      <c r="D1422" t="str">
        <f>HYPERLINK("Https://www.gov.gr/ipiresies/ugeia-kai-pronoia/iatropharmakeutike-perithalpse/apozemiose-optikon","Αποζημίωση οπτικών")</f>
        <v>Αποζημίωση οπτικών</v>
      </c>
      <c r="E1422" t="s">
        <v>88</v>
      </c>
    </row>
    <row r="1423" spans="1:5" x14ac:dyDescent="0.25">
      <c r="A1423">
        <v>16441</v>
      </c>
      <c r="B1423" t="s">
        <v>38</v>
      </c>
      <c r="C1423" t="s">
        <v>100</v>
      </c>
      <c r="D1423" t="str">
        <f>HYPERLINK("Https://www.gov.gr/ipiresies/ugeia-kai-pronoia/iatropharmakeutike-perithalpse/apozemiose-tekhnetes-komes","Αποζημίωση τεχνητής κόμης")</f>
        <v>Αποζημίωση τεχνητής κόμης</v>
      </c>
      <c r="E1423" t="s">
        <v>88</v>
      </c>
    </row>
    <row r="1424" spans="1:5" x14ac:dyDescent="0.25">
      <c r="A1424">
        <v>15560</v>
      </c>
      <c r="B1424" t="s">
        <v>38</v>
      </c>
      <c r="C1424" t="s">
        <v>100</v>
      </c>
      <c r="D1424" t="str">
        <f>HYPERLINK("Https://www.gov.gr/ipiresies/ugeia-kai-pronoia/iatropharmakeutike-perithalpse/atlas-ugeias","Άτλας υγείας")</f>
        <v>Άτλας υγείας</v>
      </c>
      <c r="E1424" t="s">
        <v>88</v>
      </c>
    </row>
    <row r="1425" spans="1:5" x14ac:dyDescent="0.25">
      <c r="A1425">
        <v>15395</v>
      </c>
      <c r="B1425" t="s">
        <v>38</v>
      </c>
      <c r="C1425" t="s">
        <v>100</v>
      </c>
      <c r="D1425" t="str">
        <f>HYPERLINK("Https://www.gov.gr/ipiresies/ugeia-kai-pronoia/iatropharmakeutike-perithalpse/iatrike-eidikoteta-gia-ten-ekdose-gnomateuses-ana-parokhe-ekpu","Ιατρική ειδικότητα για την έκδοση γνωμάτευσης ανά παροχή ΕΚΠΥ")</f>
        <v>Ιατρική ειδικότητα για την έκδοση γνωμάτευσης ανά παροχή ΕΚΠΥ</v>
      </c>
      <c r="E1425" t="s">
        <v>88</v>
      </c>
    </row>
    <row r="1426" spans="1:5" x14ac:dyDescent="0.25">
      <c r="A1426">
        <v>15469</v>
      </c>
      <c r="B1426" t="s">
        <v>38</v>
      </c>
      <c r="C1426" t="s">
        <v>100</v>
      </c>
      <c r="D1426" t="str">
        <f>HYPERLINK("Https://www.gov.gr/ipiresies/ugeia-kai-pronoia/iatropharmakeutike-perithalpse/parokhes-eniaiou-kanonismou-parokhon-ugeias-ekpu","Παροχές Ενιαίου Κανονισμού Παροχών Υγείας (ΕΚΠΥ)")</f>
        <v>Παροχές Ενιαίου Κανονισμού Παροχών Υγείας (ΕΚΠΥ)</v>
      </c>
      <c r="E1426" t="s">
        <v>88</v>
      </c>
    </row>
    <row r="1427" spans="1:5" x14ac:dyDescent="0.25">
      <c r="A1427">
        <v>15491</v>
      </c>
      <c r="B1427" t="s">
        <v>38</v>
      </c>
      <c r="C1427" t="s">
        <v>100</v>
      </c>
      <c r="D1427" t="str">
        <f>HYPERLINK("Https://www.gov.gr/ipiresies/ugeia-kai-pronoia/iatropharmakeutike-perithalpse/semeia-apostolon-pharmakon-upselou-kostous","Σημεία αποστολών Φαρμάκων Υψηλού Κόστους")</f>
        <v>Σημεία αποστολών Φαρμάκων Υψηλού Κόστους</v>
      </c>
      <c r="E1427" t="s">
        <v>88</v>
      </c>
    </row>
    <row r="1428" spans="1:5" x14ac:dyDescent="0.25">
      <c r="A1428">
        <v>15495</v>
      </c>
      <c r="B1428" t="s">
        <v>38</v>
      </c>
      <c r="C1428" t="s">
        <v>100</v>
      </c>
      <c r="D1428" t="str">
        <f>HYPERLINK("Https://www.gov.gr/ipiresies/ugeia-kai-pronoia/iatropharmakeutike-perithalpse/sumbeblemenoi-parokhoi-me-ton-eopuu","Συμβεβλημένοι πάροχοι με τον ΕΟΠΥΥ")</f>
        <v>Συμβεβλημένοι πάροχοι με τον ΕΟΠΥΥ</v>
      </c>
      <c r="E1428" t="s">
        <v>88</v>
      </c>
    </row>
    <row r="1429" spans="1:5" x14ac:dyDescent="0.25">
      <c r="A1429">
        <v>15607</v>
      </c>
      <c r="B1429" t="s">
        <v>38</v>
      </c>
      <c r="C1429" t="s">
        <v>100</v>
      </c>
      <c r="D1429" t="str">
        <f>HYPERLINK("Https://www.gov.gr/ipiresies/ugeia-kai-pronoia/iatropharmakeutike-perithalpse/uperesia-paralabes-pharmakon-upselou-kostous","Υπηρεσία παραλαβής Φαρμάκων Υψηλού Κόστους")</f>
        <v>Υπηρεσία παραλαβής Φαρμάκων Υψηλού Κόστους</v>
      </c>
      <c r="E1429" t="s">
        <v>88</v>
      </c>
    </row>
    <row r="1430" spans="1:5" x14ac:dyDescent="0.25">
      <c r="A1430">
        <v>16418</v>
      </c>
      <c r="B1430" t="s">
        <v>38</v>
      </c>
      <c r="C1430" t="s">
        <v>136</v>
      </c>
      <c r="D1430" t="str">
        <f>HYPERLINK("Https://www.gov.gr/ipiresies/ugeia-kai-pronoia/koronoios-covid-19/bebaiose-arnetikou-diagnostikou-elegkhou-koronoiou-covid-19","Βεβαίωση αρνητικού διαγνωστικού ελέγχου κορωνοϊού COVID-19")</f>
        <v>Βεβαίωση αρνητικού διαγνωστικού ελέγχου κορωνοϊού COVID-19</v>
      </c>
      <c r="E1430" t="s">
        <v>137</v>
      </c>
    </row>
    <row r="1431" spans="1:5" x14ac:dyDescent="0.25">
      <c r="A1431">
        <v>16340</v>
      </c>
      <c r="B1431" t="s">
        <v>38</v>
      </c>
      <c r="C1431" t="s">
        <v>136</v>
      </c>
      <c r="D1431" t="str">
        <f>HYPERLINK("Https://www.gov.gr/ipiresies/ugeia-kai-pronoia/koronoios-covid-19/pistopoietiko-emboliasmou","Βεβαίωση εμβολιασμού κατά του κορωνοϊού COVID-19")</f>
        <v>Βεβαίωση εμβολιασμού κατά του κορωνοϊού COVID-19</v>
      </c>
      <c r="E1431" t="s">
        <v>137</v>
      </c>
    </row>
    <row r="1432" spans="1:5" x14ac:dyDescent="0.25">
      <c r="A1432">
        <v>16417</v>
      </c>
      <c r="B1432" t="s">
        <v>38</v>
      </c>
      <c r="C1432" t="s">
        <v>136</v>
      </c>
      <c r="D1432" t="str">
        <f>HYPERLINK("Https://www.gov.gr/ipiresies/ugeia-kai-pronoia/koronoios-covid-19/bebaiose-thetikou-diagnostikou-elegkhou-koronoiou-covid-19","Βεβαίωση θετικού διαγνωστικού ελέγχου κορωνοϊού COVID-19")</f>
        <v>Βεβαίωση θετικού διαγνωστικού ελέγχου κορωνοϊού COVID-19</v>
      </c>
      <c r="E1432" t="s">
        <v>137</v>
      </c>
    </row>
    <row r="1433" spans="1:5" x14ac:dyDescent="0.25">
      <c r="A1433">
        <v>16652</v>
      </c>
      <c r="B1433" t="s">
        <v>38</v>
      </c>
      <c r="C1433" t="s">
        <v>136</v>
      </c>
      <c r="D1433" t="str">
        <f>HYPERLINK("Https://www.gov.gr/ipiresies/ugeia-kai-pronoia/koronoios-covid-19/bebaiose-thetikou-diagnostikou-elegkhou-koronoiou-covid-19-gia-apousia-apo-ten-ergasia","Βεβαίωση θετικού διαγνωστικού ελέγχου κορωνοϊού COVID-19 για απουσία από την εργασία")</f>
        <v>Βεβαίωση θετικού διαγνωστικού ελέγχου κορωνοϊού COVID-19 για απουσία από την εργασία</v>
      </c>
      <c r="E1433" t="s">
        <v>137</v>
      </c>
    </row>
    <row r="1434" spans="1:5" x14ac:dyDescent="0.25">
      <c r="A1434">
        <v>16372</v>
      </c>
      <c r="B1434" t="s">
        <v>38</v>
      </c>
      <c r="C1434" t="s">
        <v>136</v>
      </c>
      <c r="D1434" t="str">
        <f>HYPERLINK("Https://www.gov.gr/ipiresies/ugeia-kai-pronoia/koronoios-covid-19/delose-autodiagnostikon-test-covid-19","Δήλωση αυτοδιαγνωστικών τεστ COVID-19 - Self tests")</f>
        <v>Δήλωση αυτοδιαγνωστικών τεστ COVID-19 - Self tests</v>
      </c>
      <c r="E1434" t="s">
        <v>137</v>
      </c>
    </row>
    <row r="1435" spans="1:5" x14ac:dyDescent="0.25">
      <c r="A1435">
        <v>16570</v>
      </c>
      <c r="B1435" t="s">
        <v>38</v>
      </c>
      <c r="C1435" t="s">
        <v>136</v>
      </c>
      <c r="D1435" t="str">
        <f>HYPERLINK("Https://www.gov.gr/ipiresies/ugeia-kai-pronoia/koronoios-covid-19/delose-protheses-phusikes-parousias-stous-khorous-tou-aei-edupass","Δήλωση πρόθεσης φυσικής παρουσίας στους χώρους του ΑΕΙ (edupass)")</f>
        <v>Δήλωση πρόθεσης φυσικής παρουσίας στους χώρους του ΑΕΙ (edupass)</v>
      </c>
      <c r="E1435" t="s">
        <v>54</v>
      </c>
    </row>
    <row r="1436" spans="1:5" x14ac:dyDescent="0.25">
      <c r="A1436">
        <v>16584</v>
      </c>
      <c r="B1436" t="s">
        <v>38</v>
      </c>
      <c r="C1436" t="s">
        <v>136</v>
      </c>
      <c r="D1436" t="str">
        <f>HYPERLINK("Https://www.gov.gr/ipiresies/ugeia-kai-pronoia/koronoios-covid-19/edupasssch","Δήλωση συμμετοχής στη δια ζώσης εκπαιδευτική διαδικασία στις δημόσιες σχολικές μονάδες (edupass)")</f>
        <v>Δήλωση συμμετοχής στη δια ζώσης εκπαιδευτική διαδικασία στις δημόσιες σχολικές μονάδες (edupass)</v>
      </c>
      <c r="E1436" t="s">
        <v>54</v>
      </c>
    </row>
    <row r="1437" spans="1:5" x14ac:dyDescent="0.25">
      <c r="A1437">
        <v>16122</v>
      </c>
      <c r="B1437" t="s">
        <v>38</v>
      </c>
      <c r="C1437" t="s">
        <v>136</v>
      </c>
      <c r="D1437" t="str">
        <f>HYPERLINK("Https://www.gov.gr/ipiresies/ugeia-kai-pronoia/koronoios-covid-19/emboliasmos-kata-tou-koronoiou-covid-19","Εμβολιασμός κατά του κορωνοϊού COVID-19")</f>
        <v>Εμβολιασμός κατά του κορωνοϊού COVID-19</v>
      </c>
      <c r="E1437" t="s">
        <v>137</v>
      </c>
    </row>
    <row r="1438" spans="1:5" x14ac:dyDescent="0.25">
      <c r="A1438">
        <v>16427</v>
      </c>
      <c r="B1438" t="s">
        <v>38</v>
      </c>
      <c r="C1438" t="s">
        <v>136</v>
      </c>
      <c r="D1438" t="str">
        <f>HYPERLINK("Https://www.gov.gr/ipiresies/ugeia-kai-pronoia/koronoios-covid-19/greencertificate","Ευρωπαϊκό ψηφιακό πιστοποιητικό COVID-19")</f>
        <v>Ευρωπαϊκό ψηφιακό πιστοποιητικό COVID-19</v>
      </c>
      <c r="E1438" t="s">
        <v>137</v>
      </c>
    </row>
    <row r="1439" spans="1:5" x14ac:dyDescent="0.25">
      <c r="A1439">
        <v>16428</v>
      </c>
      <c r="B1439" t="s">
        <v>38</v>
      </c>
      <c r="C1439" t="s">
        <v>136</v>
      </c>
      <c r="D1439" t="str">
        <f>HYPERLINK("Https://www.gov.gr/ipiresies/ugeia-kai-pronoia/koronoios-covid-19/elektronike-delose-ugeias-gia-ten-aktoploia","Ηλεκτρονική δήλωση υγείας για την ακτοπλοΐα")</f>
        <v>Ηλεκτρονική δήλωση υγείας για την ακτοπλοΐα</v>
      </c>
      <c r="E1439" t="s">
        <v>37</v>
      </c>
    </row>
    <row r="1440" spans="1:5" x14ac:dyDescent="0.25">
      <c r="A1440">
        <v>16653</v>
      </c>
      <c r="B1440" t="s">
        <v>38</v>
      </c>
      <c r="C1440" t="s">
        <v>136</v>
      </c>
      <c r="D1440" t="str">
        <f>HYPERLINK("Https://www.gov.gr/ipiresies/ugeia-kai-pronoia/koronoios-covid-19/anagnorisi.emvolio","Ηλεκτρονική καταγραφή εμβολιασμών εξωτερικού")</f>
        <v>Ηλεκτρονική καταγραφή εμβολιασμών εξωτερικού</v>
      </c>
      <c r="E1440" t="s">
        <v>137</v>
      </c>
    </row>
    <row r="1441" spans="1:5" x14ac:dyDescent="0.25">
      <c r="A1441">
        <v>16809</v>
      </c>
      <c r="B1441" t="s">
        <v>38</v>
      </c>
      <c r="C1441" t="s">
        <v>136</v>
      </c>
      <c r="D1441" t="str">
        <f>HYPERLINK("Https://www.gov.gr/ipiresies/ugeia-kai-pronoia/koronoios-covid-19/elektronike-katagraphe-noseses-exoterikou","Ηλεκτρονική καταγραφή νόσησης εξωτερικού")</f>
        <v>Ηλεκτρονική καταγραφή νόσησης εξωτερικού</v>
      </c>
      <c r="E1441" t="s">
        <v>137</v>
      </c>
    </row>
    <row r="1442" spans="1:5" x14ac:dyDescent="0.25">
      <c r="A1442">
        <v>16452</v>
      </c>
      <c r="B1442" t="s">
        <v>38</v>
      </c>
      <c r="C1442" t="s">
        <v>136</v>
      </c>
      <c r="D1442" t="str">
        <f>HYPERLINK("Https://www.gov.gr/ipiresies/ugeia-kai-pronoia/koronoios-covid-19/katakhorise-1es-doses-emboliasmou-ektos-elladas","Καταχώριση 1ης δόσης εμβολιασμού εκτός Ελλάδας")</f>
        <v>Καταχώριση 1ης δόσης εμβολιασμού εκτός Ελλάδας</v>
      </c>
      <c r="E1442" t="s">
        <v>137</v>
      </c>
    </row>
    <row r="1443" spans="1:5" x14ac:dyDescent="0.25">
      <c r="A1443">
        <v>16668</v>
      </c>
      <c r="B1443" t="s">
        <v>38</v>
      </c>
      <c r="C1443" t="s">
        <v>136</v>
      </c>
      <c r="D1443" t="str">
        <f>HYPERLINK("Https://www.gov.gr/ipiresies/ugeia-kai-pronoia/koronoios-covid-19/katakhorise-doseon-emboliasmou-ektos-elladas-gia-tous-ano-ton-60-eton-monimous-katoikous-exoterikou","Καταχώριση δόσεων εμβολιασμού εκτός Ελλάδας (για τους άνω των 60 ετών μόνιμους κατοίκους εξωτερικού)")</f>
        <v>Καταχώριση δόσεων εμβολιασμού εκτός Ελλάδας (για τους άνω των 60 ετών μόνιμους κατοίκους εξωτερικού)</v>
      </c>
      <c r="E1443" t="s">
        <v>137</v>
      </c>
    </row>
    <row r="1444" spans="1:5" x14ac:dyDescent="0.25">
      <c r="A1444">
        <v>16716</v>
      </c>
      <c r="B1444" t="s">
        <v>38</v>
      </c>
      <c r="C1444" t="s">
        <v>136</v>
      </c>
      <c r="D1444" t="str">
        <f>HYPERLINK("Https://www.gov.gr/ipiresies/ugeia-kai-pronoia/koronoios-covid-19/katakhorise-noseses-ektos-elladas-gia-tous-ano-ton-60-eton-monimous-katoikous-exoterikou","Καταχώριση νόσησης εκτός Ελλάδας (για τους άνω των 60 ετών μόνιμους κατοίκους εξωτερικού)")</f>
        <v>Καταχώριση νόσησης εκτός Ελλάδας (για τους άνω των 60 ετών μόνιμους κατοίκους εξωτερικού)</v>
      </c>
      <c r="E1444" t="s">
        <v>137</v>
      </c>
    </row>
    <row r="1445" spans="1:5" x14ac:dyDescent="0.25">
      <c r="A1445">
        <v>15505</v>
      </c>
      <c r="B1445" t="s">
        <v>38</v>
      </c>
      <c r="C1445" t="s">
        <v>133</v>
      </c>
      <c r="D1445" t="str">
        <f>HYPERLINK("Https://www.gov.gr/ipiresies/ugeia-kai-pronoia/phakelos-ugeias/atomikos-elektronikos-phakelos-ugeias-aephu-gia-polites","Ατομικός Ηλεκτρονικός Φάκελος Υγείας (ΑΗΦΥ) για πολίτες")</f>
        <v>Ατομικός Ηλεκτρονικός Φάκελος Υγείας (ΑΗΦΥ) για πολίτες</v>
      </c>
      <c r="E1445" t="s">
        <v>132</v>
      </c>
    </row>
    <row r="1446" spans="1:5" x14ac:dyDescent="0.25">
      <c r="A1446">
        <v>15585</v>
      </c>
      <c r="B1446" t="s">
        <v>38</v>
      </c>
      <c r="C1446" t="s">
        <v>133</v>
      </c>
      <c r="D1446" t="str">
        <f>HYPERLINK("Https://www.gov.gr/ipiresies/ugeia-kai-pronoia/phakelos-ugeias/aule-suntagographese","Άυλη συνταγογράφηση")</f>
        <v>Άυλη συνταγογράφηση</v>
      </c>
      <c r="E1446" t="s">
        <v>132</v>
      </c>
    </row>
    <row r="1447" spans="1:5" x14ac:dyDescent="0.25">
      <c r="A1447">
        <v>15723</v>
      </c>
      <c r="B1447" t="s">
        <v>38</v>
      </c>
      <c r="C1447" t="s">
        <v>133</v>
      </c>
      <c r="D1447" t="str">
        <f>HYPERLINK("Https://www.gov.gr/ipiresies/ugeia-kai-pronoia/phakelos-ugeias/delose-doreas-organon-iston","Δήλωση δωρεάς οργάνων / ιστών")</f>
        <v>Δήλωση δωρεάς οργάνων / ιστών</v>
      </c>
      <c r="E1447" t="s">
        <v>149</v>
      </c>
    </row>
    <row r="1448" spans="1:5" x14ac:dyDescent="0.25">
      <c r="A1448">
        <v>15306</v>
      </c>
      <c r="B1448" t="s">
        <v>38</v>
      </c>
      <c r="C1448" t="s">
        <v>133</v>
      </c>
      <c r="D1448" t="str">
        <f>HYPERLINK("Https://www.gov.gr/ipiresies/ugeia-kai-pronoia/phakelos-ugeias/eggraphe-se-prosopiko-iatro","Εγγραφή σε προσωπικό ιατρό")</f>
        <v>Εγγραφή σε προσωπικό ιατρό</v>
      </c>
      <c r="E1448" t="s">
        <v>137</v>
      </c>
    </row>
    <row r="1449" spans="1:5" x14ac:dyDescent="0.25">
      <c r="A1449">
        <v>15304</v>
      </c>
      <c r="B1449" t="s">
        <v>38</v>
      </c>
      <c r="C1449" t="s">
        <v>133</v>
      </c>
      <c r="D1449" t="str">
        <f>HYPERLINK("Https://www.gov.gr/ipiresies/ugeia-kai-pronoia/phakelos-ugeias/eggraphe-ston-phakelo-asphalises-ugeias-phau","Εγγραφή στον Φάκελο Ασφάλισης Υγείας (ΦΑΥ)")</f>
        <v>Εγγραφή στον Φάκελο Ασφάλισης Υγείας (ΦΑΥ)</v>
      </c>
      <c r="E1449" t="s">
        <v>88</v>
      </c>
    </row>
    <row r="1450" spans="1:5" x14ac:dyDescent="0.25">
      <c r="A1450">
        <v>15329</v>
      </c>
      <c r="B1450" t="s">
        <v>38</v>
      </c>
      <c r="C1450" t="s">
        <v>133</v>
      </c>
      <c r="D1450" t="str">
        <f>HYPERLINK("Https://www.gov.gr/ipiresies/ugeia-kai-pronoia/phakelos-ugeias/ethniko-metroo-aimodoton-ema","Εθνικό Μητρώο Αιμοδοτών (ΕΜΑ)")</f>
        <v>Εθνικό Μητρώο Αιμοδοτών (ΕΜΑ)</v>
      </c>
      <c r="E1450" t="s">
        <v>166</v>
      </c>
    </row>
    <row r="1451" spans="1:5" x14ac:dyDescent="0.25">
      <c r="A1451">
        <v>16569</v>
      </c>
      <c r="B1451" t="s">
        <v>38</v>
      </c>
      <c r="C1451" t="s">
        <v>133</v>
      </c>
      <c r="D1451" t="str">
        <f>HYPERLINK("Https://www.gov.gr/ipiresies/ugeia-kai-pronoia/phakelos-ugeias/epharmoge-gia-kinetes-suskeues-myhealth","Εφαρμογή για κινητές συσκευές myHealth")</f>
        <v>Εφαρμογή για κινητές συσκευές myHealth</v>
      </c>
      <c r="E1451" t="s">
        <v>132</v>
      </c>
    </row>
    <row r="1452" spans="1:5" x14ac:dyDescent="0.25">
      <c r="A1452">
        <v>15265</v>
      </c>
      <c r="B1452" t="s">
        <v>38</v>
      </c>
      <c r="C1452" t="s">
        <v>133</v>
      </c>
      <c r="D1452" t="str">
        <f>HYPERLINK("Https://www.gov.gr/ipiresies/ugeia-kai-pronoia/phakelos-ugeias/finddoctors","Ηλεκτρονικά Ιατρικά Ραντεβού – eΡαντεβού")</f>
        <v>Ηλεκτρονικά Ιατρικά Ραντεβού – eΡαντεβού</v>
      </c>
      <c r="E1452" t="s">
        <v>132</v>
      </c>
    </row>
    <row r="1453" spans="1:5" x14ac:dyDescent="0.25">
      <c r="A1453">
        <v>16762</v>
      </c>
      <c r="B1453" t="s">
        <v>38</v>
      </c>
      <c r="C1453" t="s">
        <v>133</v>
      </c>
      <c r="D1453" t="str">
        <f>HYPERLINK("Https://www.gov.gr/ipiresies/ugeia-kai-pronoia/phakelos-ugeias/elektroniko-bibliario-ugeias-paidiou","Ηλεκτρονικό βιβλιάριο υγείας παιδιού")</f>
        <v>Ηλεκτρονικό βιβλιάριο υγείας παιδιού</v>
      </c>
      <c r="E1453" t="s">
        <v>137</v>
      </c>
    </row>
    <row r="1454" spans="1:5" x14ac:dyDescent="0.25">
      <c r="A1454">
        <v>15318</v>
      </c>
      <c r="B1454" t="s">
        <v>38</v>
      </c>
      <c r="C1454" t="s">
        <v>133</v>
      </c>
      <c r="D1454" t="str">
        <f>HYPERLINK("Https://www.gov.gr/ipiresies/ugeia-kai-pronoia/phakelos-ugeias/phakelos-asphalises-ugeias-phau","Φάκελος Ασφάλισης Υγείας (ΦΑΥ)")</f>
        <v>Φάκελος Ασφάλισης Υγείας (ΦΑΥ)</v>
      </c>
      <c r="E1454" t="s">
        <v>88</v>
      </c>
    </row>
  </sheetData>
  <sortState xmlns:xlrd2="http://schemas.microsoft.com/office/spreadsheetml/2017/richdata2" ref="A2:G1454">
    <sortCondition ref="B2:B1454"/>
    <sortCondition ref="C2:C1454"/>
    <sortCondition ref="D2:D14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Sheet1</vt:lpstr>
      <vt:lpstr>Sheet1!exports_31_08_2022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Grigoris Apergis</dc:creator>
  <cp:lastModifiedBy>ΔΙΟΝΥΣΙΟΣ ΚΟΝΤΟΓΙΩΡΓΗΣ</cp:lastModifiedBy>
  <dcterms:created xsi:type="dcterms:W3CDTF">2022-08-31T11:14:44Z</dcterms:created>
  <dcterms:modified xsi:type="dcterms:W3CDTF">2022-09-13T12:20:55Z</dcterms:modified>
</cp:coreProperties>
</file>